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s\BAC\BAC 2023\Competitive Bidding\PMO-01-2023\"/>
    </mc:Choice>
  </mc:AlternateContent>
  <xr:revisionPtr revIDLastSave="0" documentId="8_{8E1E5FEE-6ACA-4165-B845-23F2B57B3591}" xr6:coauthVersionLast="47" xr6:coauthVersionMax="47" xr10:uidLastSave="{00000000-0000-0000-0000-000000000000}"/>
  <bookViews>
    <workbookView xWindow="-120" yWindow="-120" windowWidth="29040" windowHeight="15840" xr2:uid="{E07B5F02-8B00-4EF6-A9AD-F6259093ED5D}"/>
  </bookViews>
  <sheets>
    <sheet name="SUMMARY" sheetId="3" r:id="rId1"/>
    <sheet name="Basay" sheetId="13" r:id="rId2"/>
    <sheet name="Bagacay" sheetId="15" r:id="rId3"/>
    <sheet name="LPH" sheetId="18" r:id="rId4"/>
    <sheet name="Toril" sheetId="17" r:id="rId5"/>
    <sheet name="Nonoc" sheetId="19" r:id="rId6"/>
    <sheet name="AO" sheetId="12" r:id="rId7"/>
  </sheets>
  <definedNames>
    <definedName name="Excel_BuiltIn_Print_Area_2" localSheetId="6">#REF!</definedName>
    <definedName name="Excel_BuiltIn_Print_Area_2" localSheetId="4">#REF!</definedName>
    <definedName name="Excel_BuiltIn_Print_Area_2">#REF!</definedName>
    <definedName name="_xlnm.Print_Area" localSheetId="2">Bagacay!$A$1:$I$61</definedName>
    <definedName name="_xlnm.Print_Area" localSheetId="1">Basay!$A$1:$I$61</definedName>
    <definedName name="_xlnm.Print_Area" localSheetId="3">LPH!$A$1:$I$61</definedName>
    <definedName name="_xlnm.Print_Area" localSheetId="5">Nonoc!$A$1:$I$63</definedName>
    <definedName name="_xlnm.Print_Area" localSheetId="4">Toril!$A$1:$I$59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2" l="1"/>
  <c r="K38" i="19"/>
  <c r="F38" i="19"/>
  <c r="E38" i="19"/>
  <c r="J36" i="17"/>
  <c r="I36" i="17"/>
  <c r="H36" i="17"/>
  <c r="J38" i="18"/>
  <c r="I38" i="18"/>
  <c r="H38" i="18"/>
  <c r="K38" i="15"/>
  <c r="F38" i="15"/>
  <c r="E38" i="15"/>
  <c r="J38" i="13"/>
  <c r="F38" i="13"/>
  <c r="E38" i="13"/>
  <c r="H18" i="3"/>
  <c r="K26" i="19"/>
  <c r="K22" i="19"/>
  <c r="K20" i="19"/>
  <c r="K19" i="19"/>
  <c r="K17" i="19"/>
  <c r="K29" i="19" s="1"/>
  <c r="K32" i="19" s="1"/>
  <c r="H15" i="3"/>
  <c r="J49" i="17"/>
  <c r="J48" i="17"/>
  <c r="J47" i="17"/>
  <c r="J50" i="17" s="1"/>
  <c r="J52" i="17" s="1"/>
  <c r="J46" i="17"/>
  <c r="J27" i="17"/>
  <c r="J24" i="17"/>
  <c r="J30" i="17" s="1"/>
  <c r="J18" i="17"/>
  <c r="J17" i="17"/>
  <c r="J15" i="17"/>
  <c r="H12" i="3"/>
  <c r="J51" i="18"/>
  <c r="J50" i="18"/>
  <c r="J49" i="18"/>
  <c r="J52" i="18" s="1"/>
  <c r="J54" i="18" s="1"/>
  <c r="J48" i="18"/>
  <c r="J29" i="18"/>
  <c r="J26" i="18"/>
  <c r="J32" i="18" s="1"/>
  <c r="J20" i="18"/>
  <c r="J19" i="18"/>
  <c r="J17" i="18"/>
  <c r="H11" i="3"/>
  <c r="K26" i="15"/>
  <c r="K22" i="15"/>
  <c r="K20" i="15"/>
  <c r="K19" i="15"/>
  <c r="K17" i="15"/>
  <c r="K29" i="15" s="1"/>
  <c r="K32" i="15" s="1"/>
  <c r="H8" i="3"/>
  <c r="K18" i="19" l="1"/>
  <c r="K23" i="19"/>
  <c r="J16" i="17"/>
  <c r="J21" i="17" s="1"/>
  <c r="J18" i="18"/>
  <c r="J23" i="18" s="1"/>
  <c r="K18" i="15"/>
  <c r="K23" i="15"/>
  <c r="K62" i="19" l="1"/>
  <c r="K35" i="19"/>
  <c r="J59" i="17"/>
  <c r="J33" i="17"/>
  <c r="J60" i="18"/>
  <c r="J35" i="18"/>
  <c r="K60" i="15"/>
  <c r="K35" i="15"/>
  <c r="K40" i="19" l="1"/>
  <c r="J38" i="17"/>
  <c r="J40" i="18"/>
  <c r="K40" i="15"/>
  <c r="K42" i="15" s="1"/>
  <c r="K66" i="15" s="1"/>
  <c r="K68" i="15" s="1"/>
  <c r="K42" i="19" l="1"/>
  <c r="K67" i="19" s="1"/>
  <c r="K69" i="19" s="1"/>
  <c r="J40" i="17"/>
  <c r="J65" i="17" s="1"/>
  <c r="J67" i="17" s="1"/>
  <c r="J42" i="18"/>
  <c r="J66" i="18" s="1"/>
  <c r="J68" i="18" s="1"/>
  <c r="J26" i="13"/>
  <c r="J22" i="13"/>
  <c r="J20" i="13"/>
  <c r="J19" i="13"/>
  <c r="J17" i="13"/>
  <c r="J29" i="13" s="1"/>
  <c r="I69" i="19"/>
  <c r="I67" i="19"/>
  <c r="H67" i="19"/>
  <c r="H69" i="19" s="1"/>
  <c r="C16" i="12"/>
  <c r="E16" i="12" s="1"/>
  <c r="D13" i="12"/>
  <c r="D16" i="12" s="1"/>
  <c r="I9" i="12" s="1"/>
  <c r="C13" i="12"/>
  <c r="C10" i="12"/>
  <c r="I7" i="12"/>
  <c r="E7" i="12"/>
  <c r="E6" i="12"/>
  <c r="J32" i="13" l="1"/>
  <c r="J18" i="13"/>
  <c r="J23" i="13"/>
  <c r="E18" i="12"/>
  <c r="I10" i="12"/>
  <c r="J60" i="13" l="1"/>
  <c r="J35" i="13"/>
  <c r="I11" i="12"/>
  <c r="I12" i="12" s="1"/>
  <c r="E25" i="12"/>
  <c r="E31" i="12" s="1"/>
  <c r="E33" i="12" s="1"/>
  <c r="I21" i="3" s="1"/>
  <c r="E23" i="12"/>
  <c r="J40" i="13" l="1"/>
  <c r="J42" i="13" s="1"/>
  <c r="J68" i="13" s="1"/>
  <c r="J70" i="13" s="1"/>
  <c r="I48" i="19"/>
  <c r="I51" i="19" s="1"/>
  <c r="C48" i="19"/>
  <c r="E51" i="19" s="1"/>
  <c r="E29" i="19"/>
  <c r="I26" i="19"/>
  <c r="I32" i="19" s="1"/>
  <c r="H26" i="19"/>
  <c r="F26" i="19"/>
  <c r="E26" i="19"/>
  <c r="E32" i="19" s="1"/>
  <c r="G23" i="19"/>
  <c r="F22" i="19"/>
  <c r="I20" i="19"/>
  <c r="H20" i="19"/>
  <c r="F20" i="19"/>
  <c r="E20" i="19"/>
  <c r="I19" i="19"/>
  <c r="H19" i="19"/>
  <c r="F19" i="19"/>
  <c r="E19" i="19"/>
  <c r="I17" i="19"/>
  <c r="I29" i="19" s="1"/>
  <c r="H17" i="19"/>
  <c r="H29" i="19" s="1"/>
  <c r="F17" i="19"/>
  <c r="F18" i="19" s="1"/>
  <c r="F23" i="19" s="1"/>
  <c r="E17" i="19"/>
  <c r="E23" i="19" s="1"/>
  <c r="F62" i="19" l="1"/>
  <c r="E62" i="19"/>
  <c r="E35" i="19"/>
  <c r="H32" i="19"/>
  <c r="F29" i="19"/>
  <c r="F32" i="19" s="1"/>
  <c r="F35" i="19" s="1"/>
  <c r="I50" i="19"/>
  <c r="E50" i="19"/>
  <c r="E49" i="19"/>
  <c r="E52" i="19" s="1"/>
  <c r="E54" i="19" s="1"/>
  <c r="H22" i="19" s="1"/>
  <c r="H23" i="19" s="1"/>
  <c r="H62" i="19" s="1"/>
  <c r="I18" i="19"/>
  <c r="I49" i="19"/>
  <c r="I52" i="19" s="1"/>
  <c r="I54" i="19" s="1"/>
  <c r="I22" i="19" s="1"/>
  <c r="I23" i="19" s="1"/>
  <c r="I62" i="19" l="1"/>
  <c r="I35" i="19"/>
  <c r="F40" i="19"/>
  <c r="E40" i="19"/>
  <c r="E42" i="19" s="1"/>
  <c r="E67" i="19" s="1"/>
  <c r="E69" i="19" s="1"/>
  <c r="H35" i="19"/>
  <c r="F42" i="19" l="1"/>
  <c r="F67" i="19" s="1"/>
  <c r="F69" i="19" s="1"/>
  <c r="I18" i="3" s="1"/>
  <c r="I38" i="19"/>
  <c r="I40" i="19" s="1"/>
  <c r="H38" i="19"/>
  <c r="H40" i="19" s="1"/>
  <c r="H42" i="19" l="1"/>
  <c r="I42" i="19"/>
  <c r="E36" i="17" l="1"/>
  <c r="E33" i="17"/>
  <c r="F33" i="17"/>
  <c r="E49" i="17"/>
  <c r="E48" i="17"/>
  <c r="E47" i="17"/>
  <c r="C46" i="17"/>
  <c r="E27" i="17"/>
  <c r="E38" i="18"/>
  <c r="I48" i="18"/>
  <c r="I51" i="18" s="1"/>
  <c r="C48" i="18"/>
  <c r="E51" i="18" s="1"/>
  <c r="I26" i="18"/>
  <c r="I32" i="18" s="1"/>
  <c r="H26" i="18"/>
  <c r="H32" i="18" s="1"/>
  <c r="F26" i="18"/>
  <c r="E26" i="18"/>
  <c r="F22" i="18"/>
  <c r="I20" i="18"/>
  <c r="H20" i="18"/>
  <c r="F20" i="18"/>
  <c r="E20" i="18"/>
  <c r="I19" i="18"/>
  <c r="H19" i="18"/>
  <c r="F19" i="18"/>
  <c r="E19" i="18"/>
  <c r="I18" i="18"/>
  <c r="I17" i="18"/>
  <c r="I29" i="18" s="1"/>
  <c r="H17" i="18"/>
  <c r="H29" i="18" s="1"/>
  <c r="F17" i="18"/>
  <c r="F18" i="18" s="1"/>
  <c r="E17" i="18"/>
  <c r="E29" i="18" s="1"/>
  <c r="E32" i="18" l="1"/>
  <c r="E23" i="18"/>
  <c r="E50" i="18"/>
  <c r="F23" i="18"/>
  <c r="F29" i="18"/>
  <c r="F32" i="18" s="1"/>
  <c r="I50" i="18"/>
  <c r="E49" i="18"/>
  <c r="E52" i="18" s="1"/>
  <c r="E54" i="18" s="1"/>
  <c r="H22" i="18" s="1"/>
  <c r="H23" i="18" s="1"/>
  <c r="I23" i="18"/>
  <c r="I60" i="18" s="1"/>
  <c r="I49" i="18"/>
  <c r="I52" i="18" s="1"/>
  <c r="I54" i="18" s="1"/>
  <c r="I22" i="18" s="1"/>
  <c r="H60" i="18" l="1"/>
  <c r="H35" i="18"/>
  <c r="F60" i="18"/>
  <c r="F35" i="18"/>
  <c r="I35" i="18"/>
  <c r="E60" i="18"/>
  <c r="E35" i="18"/>
  <c r="F38" i="18" l="1"/>
  <c r="F40" i="18" s="1"/>
  <c r="E40" i="18"/>
  <c r="H40" i="18"/>
  <c r="I40" i="18"/>
  <c r="I42" i="18" l="1"/>
  <c r="I66" i="18" s="1"/>
  <c r="E42" i="18"/>
  <c r="H42" i="18"/>
  <c r="H66" i="18" s="1"/>
  <c r="H68" i="18" s="1"/>
  <c r="F42" i="18"/>
  <c r="I68" i="18" l="1"/>
  <c r="I12" i="3" s="1"/>
  <c r="I46" i="17"/>
  <c r="I49" i="17" s="1"/>
  <c r="I24" i="17"/>
  <c r="I30" i="17" s="1"/>
  <c r="H24" i="17"/>
  <c r="H30" i="17" s="1"/>
  <c r="F24" i="17"/>
  <c r="E24" i="17"/>
  <c r="E30" i="17" s="1"/>
  <c r="E21" i="17"/>
  <c r="F20" i="17"/>
  <c r="I18" i="17"/>
  <c r="H18" i="17"/>
  <c r="F18" i="17"/>
  <c r="E18" i="17"/>
  <c r="I17" i="17"/>
  <c r="H17" i="17"/>
  <c r="F17" i="17"/>
  <c r="E17" i="17"/>
  <c r="I16" i="17"/>
  <c r="I15" i="17"/>
  <c r="I27" i="17" s="1"/>
  <c r="H15" i="17"/>
  <c r="H27" i="17" s="1"/>
  <c r="F15" i="17"/>
  <c r="F16" i="17" s="1"/>
  <c r="E15" i="17"/>
  <c r="E38" i="17" l="1"/>
  <c r="E59" i="17"/>
  <c r="F27" i="17"/>
  <c r="F30" i="17" s="1"/>
  <c r="F21" i="17"/>
  <c r="I48" i="17"/>
  <c r="E50" i="17"/>
  <c r="E52" i="17" s="1"/>
  <c r="H20" i="17" s="1"/>
  <c r="H21" i="17" s="1"/>
  <c r="H33" i="17" s="1"/>
  <c r="I47" i="17"/>
  <c r="H59" i="17" l="1"/>
  <c r="I50" i="17"/>
  <c r="I52" i="17" s="1"/>
  <c r="I20" i="17" s="1"/>
  <c r="I21" i="17" s="1"/>
  <c r="I33" i="17" s="1"/>
  <c r="F59" i="17"/>
  <c r="E40" i="17"/>
  <c r="I59" i="17" l="1"/>
  <c r="H38" i="17"/>
  <c r="F36" i="17"/>
  <c r="F38" i="17" s="1"/>
  <c r="H40" i="17" l="1"/>
  <c r="H65" i="17" s="1"/>
  <c r="H67" i="17" s="1"/>
  <c r="I38" i="17"/>
  <c r="F40" i="17"/>
  <c r="I40" i="17" l="1"/>
  <c r="I65" i="17" s="1"/>
  <c r="I67" i="17" s="1"/>
  <c r="I15" i="3" s="1"/>
  <c r="E50" i="15" l="1"/>
  <c r="I48" i="15"/>
  <c r="I51" i="15" s="1"/>
  <c r="C48" i="15"/>
  <c r="E51" i="15" s="1"/>
  <c r="E29" i="15"/>
  <c r="I26" i="15"/>
  <c r="H26" i="15"/>
  <c r="F26" i="15"/>
  <c r="E26" i="15"/>
  <c r="E32" i="15" s="1"/>
  <c r="E23" i="15"/>
  <c r="E60" i="15" s="1"/>
  <c r="F22" i="15"/>
  <c r="I20" i="15"/>
  <c r="H20" i="15"/>
  <c r="F20" i="15"/>
  <c r="E20" i="15"/>
  <c r="I19" i="15"/>
  <c r="H19" i="15"/>
  <c r="F19" i="15"/>
  <c r="E19" i="15"/>
  <c r="I18" i="15"/>
  <c r="I17" i="15"/>
  <c r="I29" i="15" s="1"/>
  <c r="H17" i="15"/>
  <c r="H29" i="15" s="1"/>
  <c r="F17" i="15"/>
  <c r="F18" i="15" s="1"/>
  <c r="E17" i="15"/>
  <c r="H32" i="15" l="1"/>
  <c r="I32" i="15"/>
  <c r="E35" i="15"/>
  <c r="F23" i="15"/>
  <c r="F29" i="15"/>
  <c r="F32" i="15" s="1"/>
  <c r="I50" i="15"/>
  <c r="E49" i="15"/>
  <c r="E52" i="15" s="1"/>
  <c r="E54" i="15" s="1"/>
  <c r="H22" i="15" s="1"/>
  <c r="H23" i="15" s="1"/>
  <c r="H60" i="15" s="1"/>
  <c r="I49" i="15"/>
  <c r="I52" i="15" s="1"/>
  <c r="I54" i="15" s="1"/>
  <c r="I22" i="15" s="1"/>
  <c r="I23" i="15" s="1"/>
  <c r="I60" i="15" s="1"/>
  <c r="G60" i="13"/>
  <c r="I51" i="13"/>
  <c r="I49" i="13"/>
  <c r="I48" i="13"/>
  <c r="I50" i="13" s="1"/>
  <c r="C48" i="13"/>
  <c r="E50" i="13" s="1"/>
  <c r="I29" i="13"/>
  <c r="I26" i="13"/>
  <c r="I32" i="13" s="1"/>
  <c r="H26" i="13"/>
  <c r="F26" i="13"/>
  <c r="E26" i="13"/>
  <c r="F22" i="13"/>
  <c r="I20" i="13"/>
  <c r="H20" i="13"/>
  <c r="F20" i="13"/>
  <c r="E20" i="13"/>
  <c r="I19" i="13"/>
  <c r="H19" i="13"/>
  <c r="F19" i="13"/>
  <c r="E19" i="13"/>
  <c r="F18" i="13"/>
  <c r="I17" i="13"/>
  <c r="I18" i="13" s="1"/>
  <c r="H17" i="13"/>
  <c r="H29" i="13" s="1"/>
  <c r="F17" i="13"/>
  <c r="F29" i="13" s="1"/>
  <c r="E17" i="13"/>
  <c r="E29" i="13" s="1"/>
  <c r="I35" i="15" l="1"/>
  <c r="E40" i="15"/>
  <c r="F60" i="15"/>
  <c r="F35" i="15"/>
  <c r="H35" i="15"/>
  <c r="H32" i="13"/>
  <c r="I52" i="13"/>
  <c r="I54" i="13" s="1"/>
  <c r="I22" i="13" s="1"/>
  <c r="I23" i="13" s="1"/>
  <c r="E32" i="13"/>
  <c r="F32" i="13"/>
  <c r="F23" i="13"/>
  <c r="E49" i="13"/>
  <c r="E51" i="13"/>
  <c r="E23" i="13"/>
  <c r="H38" i="15" l="1"/>
  <c r="H40" i="15" s="1"/>
  <c r="E42" i="15"/>
  <c r="E66" i="15" s="1"/>
  <c r="E68" i="15" s="1"/>
  <c r="F40" i="15"/>
  <c r="F42" i="15" s="1"/>
  <c r="F66" i="15" s="1"/>
  <c r="F68" i="15" s="1"/>
  <c r="I38" i="15"/>
  <c r="I40" i="15" s="1"/>
  <c r="I60" i="13"/>
  <c r="I35" i="13"/>
  <c r="F60" i="13"/>
  <c r="F35" i="13"/>
  <c r="E60" i="13"/>
  <c r="E35" i="13"/>
  <c r="E52" i="13"/>
  <c r="E54" i="13" s="1"/>
  <c r="H22" i="13" s="1"/>
  <c r="H23" i="13" s="1"/>
  <c r="H60" i="13" s="1"/>
  <c r="I11" i="3" l="1"/>
  <c r="I42" i="15"/>
  <c r="H42" i="15"/>
  <c r="E40" i="13"/>
  <c r="I38" i="13"/>
  <c r="I40" i="13" s="1"/>
  <c r="H35" i="13"/>
  <c r="F40" i="13"/>
  <c r="F42" i="13" l="1"/>
  <c r="F68" i="13" s="1"/>
  <c r="F70" i="13" s="1"/>
  <c r="I42" i="13"/>
  <c r="H38" i="13"/>
  <c r="H40" i="13" s="1"/>
  <c r="H42" i="13" s="1"/>
  <c r="E42" i="13"/>
  <c r="E68" i="13" s="1"/>
  <c r="E70" i="13" s="1"/>
  <c r="I8" i="3" l="1"/>
  <c r="I23" i="3"/>
  <c r="H23" i="3"/>
</calcChain>
</file>

<file path=xl/sharedStrings.xml><?xml version="1.0" encoding="utf-8"?>
<sst xmlns="http://schemas.openxmlformats.org/spreadsheetml/2006/main" count="419" uniqueCount="131">
  <si>
    <t>Days worked per week</t>
  </si>
  <si>
    <t>6 days</t>
  </si>
  <si>
    <t>No. of Days/year</t>
  </si>
  <si>
    <t>8 hours work/day</t>
  </si>
  <si>
    <t>12 hours work/day</t>
  </si>
  <si>
    <t>Day Shift</t>
  </si>
  <si>
    <t>Night Shift</t>
  </si>
  <si>
    <t>Amount to Guard</t>
  </si>
  <si>
    <t>Daily Wage (DW)</t>
  </si>
  <si>
    <t>P</t>
  </si>
  <si>
    <r>
      <t xml:space="preserve">Ave. Pay/Month </t>
    </r>
    <r>
      <rPr>
        <i/>
        <sz val="12"/>
        <color theme="1"/>
        <rFont val="Times New Roman"/>
        <family val="1"/>
      </rPr>
      <t>(DW x No. of Days per yr/12)</t>
    </r>
  </si>
  <si>
    <r>
      <t xml:space="preserve">Night Differential  </t>
    </r>
    <r>
      <rPr>
        <i/>
        <sz val="12"/>
        <color theme="1"/>
        <rFont val="Times New Roman"/>
        <family val="1"/>
      </rPr>
      <t>(Ave. Pay/mo. X 10% x 1/3)</t>
    </r>
  </si>
  <si>
    <r>
      <t xml:space="preserve">13 Month Pay  </t>
    </r>
    <r>
      <rPr>
        <i/>
        <sz val="12"/>
        <color theme="1"/>
        <rFont val="Times New Roman"/>
        <family val="1"/>
      </rPr>
      <t>(DW X 365 /12 /12 )</t>
    </r>
  </si>
  <si>
    <r>
      <t xml:space="preserve">5 Days Incentive Pay  </t>
    </r>
    <r>
      <rPr>
        <i/>
        <sz val="12"/>
        <color theme="1"/>
        <rFont val="Times New Roman"/>
        <family val="1"/>
      </rPr>
      <t>(DW x 5 / 12)</t>
    </r>
  </si>
  <si>
    <r>
      <t xml:space="preserve">Uniform Allowance </t>
    </r>
    <r>
      <rPr>
        <i/>
        <sz val="12"/>
        <color theme="1"/>
        <rFont val="Times New Roman"/>
        <family val="1"/>
      </rPr>
      <t>(R.A. 5487)</t>
    </r>
  </si>
  <si>
    <t xml:space="preserve">Overtime Pay </t>
  </si>
  <si>
    <t>Amount to Government in Favor of Guards</t>
  </si>
  <si>
    <t>Retirement Benefit (RA 7641) (DW x 22.5/12)</t>
  </si>
  <si>
    <t>SSS Premium (January 2021)</t>
  </si>
  <si>
    <t>SSS Mandatory Providend Fund</t>
  </si>
  <si>
    <t>Philhealth Contribution (PHIC Circular 2020-0005)</t>
  </si>
  <si>
    <t>State Insurance Fund</t>
  </si>
  <si>
    <t>Pag-ibig Fund</t>
  </si>
  <si>
    <t>A. TOTAL AMOUNT TO GUARD &amp; GOV'T.</t>
  </si>
  <si>
    <t>B. AGENCY FEE</t>
  </si>
  <si>
    <r>
      <t>Administrative Overhead and Margin</t>
    </r>
    <r>
      <rPr>
        <i/>
        <sz val="12"/>
        <color theme="1"/>
        <rFont val="Times New Roman"/>
        <family val="1"/>
      </rPr>
      <t xml:space="preserve"> (Min. 20%, Max 24%</t>
    </r>
    <r>
      <rPr>
        <sz val="12"/>
        <color theme="1"/>
        <rFont val="Times New Roman"/>
        <family val="1"/>
      </rPr>
      <t>)</t>
    </r>
  </si>
  <si>
    <r>
      <t xml:space="preserve">C. VALUE ADDED TAX </t>
    </r>
    <r>
      <rPr>
        <sz val="12"/>
        <color theme="1"/>
        <rFont val="Times New Roman"/>
        <family val="1"/>
      </rPr>
      <t>(Agency fee x 12% VAT-RMC-39-2007)</t>
    </r>
  </si>
  <si>
    <t>AVERAGE CONTRACT RATE</t>
  </si>
  <si>
    <t>Overtime Computation (Day Shift)</t>
  </si>
  <si>
    <t>Overtime Computation (Night Shift)</t>
  </si>
  <si>
    <t>Rate per hour</t>
  </si>
  <si>
    <t>Ordinary Working Days (HR x 125% x 295 x 4)</t>
  </si>
  <si>
    <t>Ordinary WD</t>
  </si>
  <si>
    <t>Regular Holidays (HR x 260% X 12 x 4)</t>
  </si>
  <si>
    <t>RD</t>
  </si>
  <si>
    <t>Special Days (HR x 169% x 4 x 4)</t>
  </si>
  <si>
    <t>SD</t>
  </si>
  <si>
    <t>Divided by 12</t>
  </si>
  <si>
    <t>Divided by</t>
  </si>
  <si>
    <t>Monthly overtime pay (4 hours/day)</t>
  </si>
  <si>
    <t>Monthly OT</t>
  </si>
  <si>
    <t xml:space="preserve">Remark(s) </t>
  </si>
  <si>
    <t>Changed the rate for special days since no one should work</t>
  </si>
  <si>
    <t>on a rest day.</t>
  </si>
  <si>
    <t>Basis for SSS (Amount to Guard less 13th month pay)</t>
  </si>
  <si>
    <t>Signature Over Printed Name of Authorized Signatory</t>
  </si>
  <si>
    <t>TOTAL COST FOR ONE (1) YEAR</t>
  </si>
  <si>
    <t>TOTAL COST FOR ONE (1) YEAR (AMOUNT IN WORDS)</t>
  </si>
  <si>
    <t xml:space="preserve"> </t>
  </si>
  <si>
    <t>Retirement Benefit (RA 7641) (DW x 22.5 / 12)</t>
  </si>
  <si>
    <t>Philhealth Contribution (PHIC Advisory 2022-0010)</t>
  </si>
  <si>
    <t>2023 REVISED COST DISTRIBUTION PER MONTH</t>
  </si>
  <si>
    <t>NO. OF GUARDS</t>
  </si>
  <si>
    <t>AMOUNT</t>
  </si>
  <si>
    <t>Estimated monthly wage</t>
  </si>
  <si>
    <t>GROSS PAY</t>
  </si>
  <si>
    <t>Amount Due to Government in favor of Guards</t>
  </si>
  <si>
    <t>ER Share</t>
  </si>
  <si>
    <t>EE Share</t>
  </si>
  <si>
    <t>Less:</t>
  </si>
  <si>
    <r>
      <t xml:space="preserve">Retirement Benefit (RA 7641) </t>
    </r>
    <r>
      <rPr>
        <i/>
        <sz val="11"/>
        <rFont val="Calibri (Body)"/>
      </rPr>
      <t>(570*22.5</t>
    </r>
    <r>
      <rPr>
        <sz val="11"/>
        <rFont val="Calibri"/>
        <family val="2"/>
        <scheme val="minor"/>
      </rPr>
      <t>/12)</t>
    </r>
  </si>
  <si>
    <t xml:space="preserve">         Statutory deductions (SSS,PHIC,Pag-Ibig)</t>
  </si>
  <si>
    <t xml:space="preserve">SSS Premium </t>
  </si>
  <si>
    <t>SSS Mandatory Provident Fund</t>
  </si>
  <si>
    <t>Less:  Withholding Tax</t>
  </si>
  <si>
    <t xml:space="preserve">Philhealth Contribution </t>
  </si>
  <si>
    <t>Estimated Net pay after tax</t>
  </si>
  <si>
    <t>A. Total Amount Due to Guard &amp; Government</t>
  </si>
  <si>
    <r>
      <t>Administrative Overhead and Margin</t>
    </r>
    <r>
      <rPr>
        <i/>
        <sz val="11"/>
        <rFont val="Calibri"/>
        <family val="2"/>
        <scheme val="minor"/>
      </rPr>
      <t xml:space="preserve"> (Min. 20%, Max 24%</t>
    </r>
    <r>
      <rPr>
        <sz val="11"/>
        <rFont val="Calibri"/>
        <family val="2"/>
        <scheme val="minor"/>
      </rPr>
      <t>)</t>
    </r>
  </si>
  <si>
    <r>
      <t xml:space="preserve">C. VALUE ADDED TAX </t>
    </r>
    <r>
      <rPr>
        <i/>
        <sz val="11"/>
        <rFont val="Calibri (Body)"/>
      </rPr>
      <t>(Agency fee x 12% VAT)</t>
    </r>
  </si>
  <si>
    <t>Average Cost Per Month</t>
  </si>
  <si>
    <t>WAGE ORDER NO. ROVII-23</t>
  </si>
  <si>
    <t>Region VII (Central Visayas)</t>
  </si>
  <si>
    <t>Effective on 14 June 2022</t>
  </si>
  <si>
    <t>Negros Oriental - 12 hours</t>
  </si>
  <si>
    <t>TOTAL COST FOR ONE (1) YEAR ASSIGNED IN REGION VII (CENTRAL VISAYAS)</t>
  </si>
  <si>
    <t>WAGE ORDER NO. VIII-22</t>
  </si>
  <si>
    <t>Region VIII (Eastern Visayas)</t>
  </si>
  <si>
    <t>Effective on 27 June 2022</t>
  </si>
  <si>
    <t>Western Samar - 8hours</t>
  </si>
  <si>
    <t>Western Samar - 12hours</t>
  </si>
  <si>
    <t>TOTAL COST FOR ONE (1) YEAR ASSIGNED IN REGION VIII (EASTERN VISAYAS)</t>
  </si>
  <si>
    <t>WAGE ORDER NO. XI-21</t>
  </si>
  <si>
    <t>Davao Region</t>
  </si>
  <si>
    <t>Effective on 19 June 2022</t>
  </si>
  <si>
    <t>Toril - 8 hours</t>
  </si>
  <si>
    <t>Toril -12 hours</t>
  </si>
  <si>
    <t xml:space="preserve">                                                                                                            </t>
  </si>
  <si>
    <t>I. Region VII (Central Visayas)</t>
  </si>
  <si>
    <t>II. Region VIII (Eastern Visayas)</t>
  </si>
  <si>
    <t>III. Region XI</t>
  </si>
  <si>
    <t>WAGE ORDER NO.  RXIII-17</t>
  </si>
  <si>
    <t>Region XIII (Caraga)</t>
  </si>
  <si>
    <t>Effective on 06 June 2022</t>
  </si>
  <si>
    <t>Caraga (Surigao del Norte) - 8 hours</t>
  </si>
  <si>
    <t>Caraga (Surigao del Norte) - 12 hours</t>
  </si>
  <si>
    <t>1) Changed the rate for special days since no one should work</t>
  </si>
  <si>
    <t xml:space="preserve">2) For new daily wage in the region, COLA is not accounted </t>
  </si>
  <si>
    <t>separately.</t>
  </si>
  <si>
    <t>TOTAL COST FOR ONE (1) YEAR ASSIGNED IN REGION XI-21 (Toril, Davao Region)</t>
  </si>
  <si>
    <t>13th Month Pay</t>
  </si>
  <si>
    <t>Gross Pay</t>
  </si>
  <si>
    <t xml:space="preserve">Net Amount before  tax </t>
  </si>
  <si>
    <t>AVERAGE RATE (1 Security Coordinator, Per Month)</t>
  </si>
  <si>
    <t>Total Cost for One (1) Year - VIS/MIN Region (Various Assets)</t>
  </si>
  <si>
    <t>Wage Order Nos. ROVII-23, ROVIII-22, ROXI-21 and RXIII-17</t>
  </si>
  <si>
    <t>Effective June 2022</t>
  </si>
  <si>
    <t>V. Others</t>
  </si>
  <si>
    <t>TOTAL COST FOR ONE (1) YEAR ASSIGNED IN REGION RXIII-17 (Caraga)</t>
  </si>
  <si>
    <t xml:space="preserve">No. of Guards To be Assigned </t>
  </si>
  <si>
    <t>Total Average Contract Rate Per Month</t>
  </si>
  <si>
    <t>Total for 1 Year (Basay Mines - Maglinao Mine Site &amp; Cotcot Pier)</t>
  </si>
  <si>
    <t>Relievers</t>
  </si>
  <si>
    <t>Western Samar - 8 hours</t>
  </si>
  <si>
    <t>Negros Oriental - 8 hours</t>
  </si>
  <si>
    <t>Total for 1 Year (Bagacay Mines)</t>
  </si>
  <si>
    <t xml:space="preserve">     Basay Mines (Maglinao Mine Site &amp; Cotcot Pier), Negros Oriental</t>
  </si>
  <si>
    <t xml:space="preserve">     Bagacay Mines, Hinabangan, Western Samar</t>
  </si>
  <si>
    <t xml:space="preserve">     Leyte Park Hotel, Tacloban City</t>
  </si>
  <si>
    <t>Total for 1 Year (Leyte Park Hotel)</t>
  </si>
  <si>
    <t xml:space="preserve">     Building and Lot, Toril, Davao City</t>
  </si>
  <si>
    <t>Total for 1 Year (Toril)</t>
  </si>
  <si>
    <t xml:space="preserve">      Nonoc Mines</t>
  </si>
  <si>
    <t>IV. Region XIII</t>
  </si>
  <si>
    <t>Total for 1 Year (Nonoc)</t>
  </si>
  <si>
    <t xml:space="preserve">Account Officer (Security Manager) </t>
  </si>
  <si>
    <t>Amount Due Directly to AO-SM</t>
  </si>
  <si>
    <t xml:space="preserve">No. of Persons Assigned </t>
  </si>
  <si>
    <t>Total for 1 Year - AO (SM) in VIS/MIN</t>
  </si>
  <si>
    <t xml:space="preserve">     Account Officer (Security Manager) for VisMin</t>
  </si>
  <si>
    <t>TOTAL COST FOR ONE (1) YEAR- AO(SM) for VisMin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</si>
</sst>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 (Body)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1" applyNumberFormat="1" applyFont="1" applyAlignment="1">
      <alignment horizontal="center"/>
    </xf>
    <xf numFmtId="164" fontId="6" fillId="0" borderId="0" xfId="1" applyFont="1"/>
    <xf numFmtId="0" fontId="7" fillId="0" borderId="0" xfId="0" applyFont="1"/>
    <xf numFmtId="164" fontId="6" fillId="0" borderId="0" xfId="0" applyNumberFormat="1" applyFont="1"/>
    <xf numFmtId="0" fontId="9" fillId="0" borderId="0" xfId="0" applyFont="1"/>
    <xf numFmtId="0" fontId="8" fillId="0" borderId="0" xfId="0" applyFont="1"/>
    <xf numFmtId="164" fontId="7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164" fontId="11" fillId="0" borderId="0" xfId="1" applyFont="1" applyFill="1" applyProtection="1"/>
    <xf numFmtId="164" fontId="12" fillId="0" borderId="0" xfId="1" applyFont="1" applyFill="1" applyProtection="1"/>
    <xf numFmtId="164" fontId="12" fillId="0" borderId="0" xfId="1" applyFont="1" applyFill="1" applyAlignment="1" applyProtection="1">
      <alignment horizontal="center"/>
    </xf>
    <xf numFmtId="164" fontId="12" fillId="0" borderId="1" xfId="1" applyFont="1" applyFill="1" applyBorder="1" applyProtection="1"/>
    <xf numFmtId="164" fontId="12" fillId="0" borderId="1" xfId="1" applyFont="1" applyFill="1" applyBorder="1" applyAlignment="1" applyProtection="1">
      <alignment horizontal="center"/>
    </xf>
    <xf numFmtId="0" fontId="12" fillId="0" borderId="0" xfId="0" applyFont="1" applyProtection="1">
      <protection locked="0"/>
    </xf>
    <xf numFmtId="0" fontId="8" fillId="0" borderId="4" xfId="0" applyFont="1" applyBorder="1" applyAlignment="1">
      <alignment horizontal="center"/>
    </xf>
    <xf numFmtId="164" fontId="8" fillId="0" borderId="4" xfId="1" applyFont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4" fontId="3" fillId="0" borderId="2" xfId="0" applyNumberFormat="1" applyFont="1" applyBorder="1" applyProtection="1">
      <protection locked="0"/>
    </xf>
    <xf numFmtId="164" fontId="6" fillId="0" borderId="0" xfId="1" applyFont="1" applyAlignment="1">
      <alignment vertical="center"/>
    </xf>
    <xf numFmtId="0" fontId="6" fillId="0" borderId="0" xfId="0" applyFont="1" applyAlignment="1">
      <alignment horizontal="left" wrapText="1"/>
    </xf>
    <xf numFmtId="0" fontId="3" fillId="0" borderId="0" xfId="0" applyFont="1" applyAlignment="1" applyProtection="1">
      <alignment horizontal="left" wrapText="1"/>
      <protection locked="0"/>
    </xf>
    <xf numFmtId="9" fontId="2" fillId="0" borderId="5" xfId="4" applyFont="1" applyBorder="1" applyAlignment="1" applyProtection="1">
      <alignment wrapText="1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164" fontId="3" fillId="0" borderId="0" xfId="2" applyFont="1" applyProtection="1"/>
    <xf numFmtId="164" fontId="3" fillId="0" borderId="0" xfId="2" applyFont="1" applyAlignment="1" applyProtection="1">
      <alignment horizontal="center"/>
    </xf>
    <xf numFmtId="164" fontId="3" fillId="0" borderId="0" xfId="0" applyNumberFormat="1" applyFont="1" applyProtection="1"/>
    <xf numFmtId="2" fontId="3" fillId="0" borderId="0" xfId="0" applyNumberFormat="1" applyFont="1" applyProtection="1"/>
    <xf numFmtId="164" fontId="3" fillId="0" borderId="1" xfId="2" applyFont="1" applyBorder="1" applyProtection="1"/>
    <xf numFmtId="164" fontId="3" fillId="0" borderId="0" xfId="2" applyFont="1" applyBorder="1" applyAlignment="1" applyProtection="1">
      <alignment horizontal="center"/>
    </xf>
    <xf numFmtId="43" fontId="3" fillId="0" borderId="1" xfId="3" applyFont="1" applyBorder="1" applyProtection="1"/>
    <xf numFmtId="164" fontId="3" fillId="0" borderId="0" xfId="0" applyNumberFormat="1" applyFont="1" applyAlignment="1" applyProtection="1">
      <alignment horizontal="center"/>
    </xf>
    <xf numFmtId="164" fontId="5" fillId="0" borderId="0" xfId="2" applyFont="1" applyProtection="1"/>
    <xf numFmtId="164" fontId="5" fillId="0" borderId="1" xfId="2" applyFont="1" applyBorder="1" applyProtection="1"/>
    <xf numFmtId="164" fontId="5" fillId="0" borderId="0" xfId="0" applyNumberFormat="1" applyFont="1" applyProtection="1"/>
    <xf numFmtId="43" fontId="2" fillId="0" borderId="0" xfId="0" applyNumberFormat="1" applyFont="1" applyProtection="1"/>
    <xf numFmtId="0" fontId="3" fillId="0" borderId="0" xfId="0" applyFont="1" applyAlignment="1" applyProtection="1">
      <alignment horizontal="center" wrapText="1"/>
    </xf>
    <xf numFmtId="164" fontId="2" fillId="0" borderId="0" xfId="2" applyFont="1" applyProtection="1"/>
    <xf numFmtId="164" fontId="2" fillId="0" borderId="0" xfId="2" applyFont="1" applyAlignment="1" applyProtection="1">
      <alignment horizontal="center"/>
    </xf>
    <xf numFmtId="164" fontId="2" fillId="0" borderId="2" xfId="2" applyFont="1" applyBorder="1" applyProtection="1"/>
    <xf numFmtId="43" fontId="2" fillId="0" borderId="2" xfId="0" applyNumberFormat="1" applyFont="1" applyBorder="1" applyProtection="1"/>
    <xf numFmtId="43" fontId="3" fillId="0" borderId="0" xfId="3" applyFont="1" applyProtection="1"/>
    <xf numFmtId="164" fontId="3" fillId="0" borderId="3" xfId="0" applyNumberFormat="1" applyFont="1" applyBorder="1" applyProtection="1"/>
    <xf numFmtId="0" fontId="3" fillId="0" borderId="1" xfId="0" applyFont="1" applyBorder="1" applyProtection="1"/>
    <xf numFmtId="164" fontId="2" fillId="0" borderId="4" xfId="0" applyNumberFormat="1" applyFont="1" applyBorder="1" applyProtection="1"/>
    <xf numFmtId="164" fontId="3" fillId="0" borderId="2" xfId="2" applyFont="1" applyBorder="1" applyProtection="1"/>
    <xf numFmtId="164" fontId="3" fillId="0" borderId="2" xfId="2" applyFont="1" applyBorder="1" applyAlignment="1" applyProtection="1">
      <alignment horizontal="center"/>
    </xf>
    <xf numFmtId="4" fontId="3" fillId="0" borderId="0" xfId="0" applyNumberFormat="1" applyFont="1" applyProtection="1"/>
    <xf numFmtId="0" fontId="3" fillId="0" borderId="0" xfId="0" applyFont="1" applyAlignment="1" applyProtection="1">
      <alignment horizontal="left" wrapText="1"/>
    </xf>
    <xf numFmtId="4" fontId="3" fillId="0" borderId="2" xfId="0" applyNumberFormat="1" applyFont="1" applyBorder="1" applyProtection="1"/>
    <xf numFmtId="0" fontId="3" fillId="0" borderId="0" xfId="0" applyFont="1" applyBorder="1" applyAlignment="1" applyProtection="1">
      <alignment horizontal="center" wrapText="1"/>
    </xf>
    <xf numFmtId="164" fontId="3" fillId="0" borderId="2" xfId="0" applyNumberFormat="1" applyFont="1" applyBorder="1" applyProtection="1"/>
    <xf numFmtId="9" fontId="11" fillId="0" borderId="5" xfId="4" applyFont="1" applyBorder="1" applyProtection="1">
      <protection locked="0"/>
    </xf>
    <xf numFmtId="0" fontId="11" fillId="0" borderId="0" xfId="0" applyFont="1" applyProtection="1"/>
    <xf numFmtId="0" fontId="12" fillId="0" borderId="0" xfId="0" applyFont="1" applyProtection="1"/>
    <xf numFmtId="164" fontId="12" fillId="0" borderId="1" xfId="0" applyNumberFormat="1" applyFont="1" applyBorder="1" applyProtection="1"/>
    <xf numFmtId="164" fontId="12" fillId="0" borderId="0" xfId="0" applyNumberFormat="1" applyFont="1" applyProtection="1"/>
    <xf numFmtId="0" fontId="14" fillId="0" borderId="0" xfId="0" applyFont="1" applyAlignment="1" applyProtection="1">
      <alignment horizontal="center"/>
    </xf>
    <xf numFmtId="0" fontId="13" fillId="0" borderId="0" xfId="0" applyFont="1" applyProtection="1"/>
    <xf numFmtId="0" fontId="11" fillId="0" borderId="0" xfId="0" applyFont="1" applyAlignment="1" applyProtection="1">
      <alignment wrapText="1"/>
    </xf>
    <xf numFmtId="43" fontId="12" fillId="0" borderId="0" xfId="0" applyNumberFormat="1" applyFont="1" applyAlignment="1" applyProtection="1">
      <alignment vertical="center"/>
    </xf>
    <xf numFmtId="43" fontId="11" fillId="0" borderId="4" xfId="0" applyNumberFormat="1" applyFont="1" applyBorder="1" applyProtection="1"/>
    <xf numFmtId="164" fontId="11" fillId="0" borderId="0" xfId="0" applyNumberFormat="1" applyFont="1" applyProtection="1"/>
    <xf numFmtId="164" fontId="13" fillId="0" borderId="1" xfId="0" applyNumberFormat="1" applyFont="1" applyBorder="1" applyProtection="1"/>
    <xf numFmtId="43" fontId="12" fillId="0" borderId="0" xfId="0" applyNumberFormat="1" applyFont="1" applyProtection="1"/>
    <xf numFmtId="43" fontId="13" fillId="0" borderId="0" xfId="0" applyNumberFormat="1" applyFont="1" applyProtection="1"/>
    <xf numFmtId="43" fontId="11" fillId="0" borderId="0" xfId="0" applyNumberFormat="1" applyFont="1" applyProtection="1"/>
    <xf numFmtId="43" fontId="13" fillId="0" borderId="1" xfId="0" applyNumberFormat="1" applyFont="1" applyBorder="1" applyProtection="1"/>
    <xf numFmtId="164" fontId="11" fillId="0" borderId="2" xfId="0" applyNumberFormat="1" applyFont="1" applyBorder="1" applyProtection="1"/>
    <xf numFmtId="0" fontId="0" fillId="0" borderId="0" xfId="0" applyProtection="1"/>
    <xf numFmtId="0" fontId="10" fillId="0" borderId="0" xfId="0" applyFont="1" applyProtection="1"/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43" fontId="0" fillId="0" borderId="2" xfId="0" applyNumberFormat="1" applyBorder="1" applyProtection="1"/>
    <xf numFmtId="0" fontId="7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</cellXfs>
  <cellStyles count="5">
    <cellStyle name="Comma" xfId="1" builtinId="3"/>
    <cellStyle name="Comma 2" xfId="2" xr:uid="{989A1B9A-EFFD-4F4E-8DFB-A6490F43ECAD}"/>
    <cellStyle name="Comma 3" xfId="3" xr:uid="{2BA04C63-68E6-42D5-9DB1-5053FD563B9F}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EBB6B-71E8-4CE9-9970-50C15085FC17}">
  <dimension ref="A1:L43"/>
  <sheetViews>
    <sheetView tabSelected="1" zoomScale="85" zoomScaleNormal="85" workbookViewId="0">
      <selection activeCell="H35" sqref="H35"/>
    </sheetView>
  </sheetViews>
  <sheetFormatPr defaultColWidth="9.140625" defaultRowHeight="15"/>
  <cols>
    <col min="1" max="4" width="9.140625" style="2"/>
    <col min="5" max="5" width="14.140625" style="2" customWidth="1"/>
    <col min="6" max="6" width="15.5703125" style="2" customWidth="1"/>
    <col min="7" max="7" width="12" style="2" bestFit="1" customWidth="1"/>
    <col min="8" max="8" width="15" style="2" customWidth="1"/>
    <col min="9" max="10" width="15.42578125" style="2" bestFit="1" customWidth="1"/>
    <col min="11" max="11" width="9.140625" style="2"/>
    <col min="12" max="12" width="13.5703125" style="8" bestFit="1" customWidth="1"/>
    <col min="13" max="16384" width="9.140625" style="2"/>
  </cols>
  <sheetData>
    <row r="1" spans="1:12">
      <c r="A1" s="2" t="s">
        <v>46</v>
      </c>
    </row>
    <row r="2" spans="1:12">
      <c r="A2" s="2" t="s">
        <v>51</v>
      </c>
    </row>
    <row r="3" spans="1:12">
      <c r="A3" s="2" t="s">
        <v>105</v>
      </c>
    </row>
    <row r="4" spans="1:12">
      <c r="A4" s="2" t="s">
        <v>106</v>
      </c>
    </row>
    <row r="6" spans="1:12" s="15" customFormat="1" ht="28.5">
      <c r="H6" s="16" t="s">
        <v>52</v>
      </c>
      <c r="I6" s="17" t="s">
        <v>53</v>
      </c>
      <c r="L6" s="31"/>
    </row>
    <row r="7" spans="1:12">
      <c r="A7" s="32" t="s">
        <v>88</v>
      </c>
      <c r="B7" s="32"/>
      <c r="C7" s="32"/>
      <c r="D7" s="32"/>
      <c r="E7" s="32"/>
      <c r="H7" s="5"/>
      <c r="I7" s="10"/>
      <c r="J7" s="3"/>
    </row>
    <row r="8" spans="1:12" ht="14.1" customHeight="1">
      <c r="A8" s="32" t="s">
        <v>116</v>
      </c>
      <c r="B8" s="32"/>
      <c r="C8" s="32"/>
      <c r="D8" s="32"/>
      <c r="E8" s="32"/>
      <c r="F8" s="32"/>
      <c r="H8" s="5">
        <f>+Basay!E66+Basay!F66+Basay!J66</f>
        <v>13</v>
      </c>
      <c r="I8" s="6">
        <f>+Basay!E70+Basay!F70+Basay!J70</f>
        <v>2097729.1574999997</v>
      </c>
      <c r="J8" s="13"/>
    </row>
    <row r="9" spans="1:12">
      <c r="A9" s="4"/>
      <c r="B9" s="4"/>
      <c r="C9" s="4"/>
      <c r="D9" s="4"/>
      <c r="E9" s="4"/>
      <c r="H9" s="5"/>
      <c r="I9" s="6"/>
      <c r="J9" s="13"/>
    </row>
    <row r="10" spans="1:12">
      <c r="A10" s="32" t="s">
        <v>89</v>
      </c>
      <c r="B10" s="32"/>
      <c r="C10" s="32"/>
      <c r="D10" s="32"/>
      <c r="E10" s="32"/>
      <c r="G10" s="7"/>
      <c r="H10" s="8"/>
      <c r="I10" s="6"/>
    </row>
    <row r="11" spans="1:12">
      <c r="A11" s="32" t="s">
        <v>117</v>
      </c>
      <c r="B11" s="32"/>
      <c r="C11" s="32"/>
      <c r="D11" s="32"/>
      <c r="E11" s="32"/>
      <c r="H11" s="5">
        <f>+Bagacay!E64+Bagacay!F64+Bagacay!K64</f>
        <v>4</v>
      </c>
      <c r="I11" s="10">
        <f>+Bagacay!E68+Bagacay!F68+Bagacay!K68</f>
        <v>626663.71</v>
      </c>
      <c r="J11" s="10"/>
    </row>
    <row r="12" spans="1:12">
      <c r="A12" s="32" t="s">
        <v>118</v>
      </c>
      <c r="B12" s="32"/>
      <c r="C12" s="32"/>
      <c r="D12" s="32"/>
      <c r="E12" s="32"/>
      <c r="H12" s="5">
        <f>+LPH!H64+LPH!I64+LPH!J64</f>
        <v>10</v>
      </c>
      <c r="I12" s="10">
        <f>+LPH!H68+LPH!I68+LPH!J68</f>
        <v>2477430.2200000002</v>
      </c>
      <c r="J12" s="10"/>
    </row>
    <row r="13" spans="1:12">
      <c r="I13" s="10"/>
      <c r="J13" s="10"/>
    </row>
    <row r="14" spans="1:12">
      <c r="A14" s="32" t="s">
        <v>90</v>
      </c>
      <c r="B14" s="32"/>
      <c r="C14" s="32"/>
      <c r="I14" s="10"/>
      <c r="J14" s="10"/>
    </row>
    <row r="15" spans="1:12" ht="14.1" customHeight="1">
      <c r="A15" s="32" t="s">
        <v>120</v>
      </c>
      <c r="B15" s="32"/>
      <c r="C15" s="32"/>
      <c r="D15" s="32"/>
      <c r="H15" s="5">
        <f>+Toril!H63+Toril!I63+Toril!J63</f>
        <v>3</v>
      </c>
      <c r="I15" s="10">
        <f>+Toril!H67+Toril!I67+Toril!J67</f>
        <v>874439.89399999985</v>
      </c>
      <c r="J15" s="10"/>
    </row>
    <row r="16" spans="1:12">
      <c r="A16" s="4"/>
      <c r="B16" s="4"/>
      <c r="C16" s="4"/>
      <c r="H16" s="5"/>
      <c r="I16" s="10"/>
      <c r="J16" s="10"/>
    </row>
    <row r="17" spans="1:10">
      <c r="A17" s="32" t="s">
        <v>123</v>
      </c>
      <c r="B17" s="32"/>
      <c r="C17" s="32"/>
      <c r="H17" s="5"/>
      <c r="I17" s="10"/>
      <c r="J17" s="10"/>
    </row>
    <row r="18" spans="1:10">
      <c r="A18" s="32" t="s">
        <v>122</v>
      </c>
      <c r="B18" s="32"/>
      <c r="C18" s="4"/>
      <c r="H18" s="5">
        <f>+Nonoc!E65+Nonoc!F65+Nonoc!K65</f>
        <v>18</v>
      </c>
      <c r="I18" s="10">
        <f>+Nonoc!E69+Nonoc!F69+Nonoc!K69</f>
        <v>2630136.2302000001</v>
      </c>
      <c r="J18" s="10"/>
    </row>
    <row r="19" spans="1:10">
      <c r="A19" s="32"/>
      <c r="B19" s="32"/>
      <c r="C19" s="32"/>
      <c r="D19" s="32"/>
      <c r="E19" s="32"/>
      <c r="F19" s="32"/>
      <c r="H19" s="5"/>
      <c r="I19" s="10"/>
      <c r="J19" s="10"/>
    </row>
    <row r="20" spans="1:10">
      <c r="A20" s="32" t="s">
        <v>107</v>
      </c>
      <c r="B20" s="32"/>
      <c r="C20" s="32"/>
      <c r="I20" s="10"/>
      <c r="J20" s="10"/>
    </row>
    <row r="21" spans="1:10" ht="15" customHeight="1">
      <c r="A21" s="32" t="s">
        <v>129</v>
      </c>
      <c r="B21" s="32"/>
      <c r="C21" s="32"/>
      <c r="D21" s="32"/>
      <c r="E21" s="32"/>
      <c r="H21" s="5">
        <v>1</v>
      </c>
      <c r="I21" s="10">
        <f>+AO!E33</f>
        <v>703385</v>
      </c>
      <c r="J21" s="10"/>
    </row>
    <row r="22" spans="1:10" ht="15" customHeight="1">
      <c r="A22" s="4"/>
      <c r="B22" s="4"/>
      <c r="C22" s="4"/>
      <c r="D22" s="4"/>
      <c r="E22" s="4"/>
      <c r="J22" s="10"/>
    </row>
    <row r="23" spans="1:10" ht="15.75" thickBot="1">
      <c r="A23" s="32" t="s">
        <v>104</v>
      </c>
      <c r="B23" s="32"/>
      <c r="C23" s="32"/>
      <c r="D23" s="32"/>
      <c r="E23" s="32"/>
      <c r="F23" s="32"/>
      <c r="H23" s="26">
        <f>SUM(H8:H21)</f>
        <v>49</v>
      </c>
      <c r="I23" s="27">
        <f>SUM(I8:I21)</f>
        <v>9409784.2116999999</v>
      </c>
      <c r="J23" s="10"/>
    </row>
    <row r="24" spans="1:10" ht="15.75" thickTop="1">
      <c r="A24" s="4"/>
      <c r="B24" s="4"/>
      <c r="C24" s="4"/>
      <c r="H24" s="5"/>
      <c r="I24" s="10"/>
      <c r="J24" s="10"/>
    </row>
    <row r="25" spans="1:10">
      <c r="A25" s="4"/>
      <c r="B25" s="4"/>
      <c r="C25" s="4"/>
      <c r="H25" s="5"/>
      <c r="I25" s="10"/>
      <c r="J25" s="10"/>
    </row>
    <row r="26" spans="1:10">
      <c r="A26" s="2" t="s">
        <v>47</v>
      </c>
      <c r="I26" s="10"/>
      <c r="J26" s="10"/>
    </row>
    <row r="27" spans="1:10">
      <c r="A27" s="91"/>
      <c r="B27" s="91"/>
      <c r="C27" s="91"/>
      <c r="D27" s="91"/>
      <c r="E27" s="91"/>
      <c r="F27" s="91"/>
      <c r="G27" s="91"/>
      <c r="H27" s="91"/>
      <c r="I27" s="91"/>
      <c r="J27" s="10"/>
    </row>
    <row r="28" spans="1:10">
      <c r="A28" s="92"/>
      <c r="B28" s="92"/>
      <c r="C28" s="92"/>
      <c r="D28" s="92"/>
      <c r="E28" s="92"/>
      <c r="F28" s="92"/>
      <c r="G28" s="92"/>
      <c r="H28" s="92"/>
      <c r="I28" s="92"/>
      <c r="J28" s="10"/>
    </row>
    <row r="29" spans="1:10">
      <c r="A29" s="9"/>
      <c r="B29" s="9"/>
      <c r="C29" s="9"/>
    </row>
    <row r="30" spans="1:10">
      <c r="A30" s="9"/>
      <c r="B30" s="9"/>
      <c r="C30" s="9"/>
    </row>
    <row r="31" spans="1:10">
      <c r="A31" s="11"/>
      <c r="B31" s="9"/>
      <c r="C31" s="9"/>
      <c r="D31" s="93"/>
      <c r="E31" s="93"/>
      <c r="F31" s="93"/>
      <c r="G31" s="93"/>
      <c r="I31" s="10"/>
      <c r="J31" s="10"/>
    </row>
    <row r="32" spans="1:10">
      <c r="A32" s="9"/>
      <c r="B32" s="9"/>
      <c r="C32" s="9"/>
      <c r="D32" s="2" t="s">
        <v>45</v>
      </c>
    </row>
    <row r="33" spans="1:10">
      <c r="A33" s="11"/>
      <c r="B33" s="9"/>
      <c r="C33" s="9"/>
      <c r="I33" s="10"/>
    </row>
    <row r="34" spans="1:10">
      <c r="A34" s="9"/>
      <c r="B34" s="9"/>
      <c r="C34" s="9"/>
      <c r="I34" s="10"/>
      <c r="J34" s="10"/>
    </row>
    <row r="35" spans="1:10">
      <c r="A35" s="9"/>
      <c r="B35" s="9"/>
      <c r="C35" s="9"/>
      <c r="J35" s="10"/>
    </row>
    <row r="36" spans="1:10">
      <c r="A36" s="11"/>
      <c r="B36" s="9"/>
      <c r="C36" s="9"/>
      <c r="I36" s="10"/>
      <c r="J36" s="10"/>
    </row>
    <row r="37" spans="1:10">
      <c r="A37" s="9"/>
      <c r="B37" s="9"/>
      <c r="C37" s="9"/>
      <c r="I37" s="10"/>
      <c r="J37" s="10"/>
    </row>
    <row r="38" spans="1:10">
      <c r="A38" s="11"/>
      <c r="B38" s="9"/>
      <c r="C38" s="9"/>
      <c r="I38" s="10"/>
      <c r="J38" s="10"/>
    </row>
    <row r="41" spans="1:10">
      <c r="A41" s="12"/>
    </row>
    <row r="43" spans="1:10">
      <c r="I43" s="5"/>
      <c r="J43" s="5"/>
    </row>
  </sheetData>
  <sheetProtection algorithmName="SHA-512" hashValue="z1hblxXf3HWpfNF6O5nRAIviui8pOTLvOmjjVDO2/8frSp4rx+9vSCsUcFXDhNrEL8GkD+06okoy9uEi6y8ElQ==" saltValue="exg8MiEs/ujq/nhEm9Hwdg==" spinCount="100000" sheet="1" objects="1" scenarios="1"/>
  <mergeCells count="15">
    <mergeCell ref="A27:I28"/>
    <mergeCell ref="D31:G31"/>
    <mergeCell ref="A10:E10"/>
    <mergeCell ref="A7:E7"/>
    <mergeCell ref="A11:E11"/>
    <mergeCell ref="A12:E12"/>
    <mergeCell ref="A8:F8"/>
    <mergeCell ref="A20:C20"/>
    <mergeCell ref="A21:E21"/>
    <mergeCell ref="A23:F23"/>
    <mergeCell ref="A14:C14"/>
    <mergeCell ref="A19:F19"/>
    <mergeCell ref="A17:C17"/>
    <mergeCell ref="A18:B18"/>
    <mergeCell ref="A15:D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EDE70-793F-4AE2-8BF4-1B8F7AA867B7}">
  <dimension ref="A1:J71"/>
  <sheetViews>
    <sheetView topLeftCell="A17" zoomScale="82" zoomScaleNormal="82" workbookViewId="0">
      <selection activeCell="C38" sqref="C38"/>
    </sheetView>
  </sheetViews>
  <sheetFormatPr defaultColWidth="9.140625" defaultRowHeight="15.75"/>
  <cols>
    <col min="1" max="1" width="4.5703125" style="1" customWidth="1"/>
    <col min="2" max="2" width="57.140625" style="1" customWidth="1"/>
    <col min="3" max="3" width="7.5703125" style="1" customWidth="1"/>
    <col min="4" max="4" width="2.42578125" style="14" bestFit="1" customWidth="1"/>
    <col min="5" max="5" width="18.140625" style="1" customWidth="1"/>
    <col min="6" max="6" width="18" style="1" customWidth="1"/>
    <col min="7" max="7" width="2.5703125" style="14" hidden="1" customWidth="1"/>
    <col min="8" max="8" width="22.42578125" style="1" hidden="1" customWidth="1"/>
    <col min="9" max="9" width="19.5703125" style="1" hidden="1" customWidth="1"/>
    <col min="10" max="10" width="18" style="1" customWidth="1"/>
    <col min="11" max="16384" width="9.140625" style="1"/>
  </cols>
  <sheetData>
    <row r="1" spans="1:10">
      <c r="A1" s="35"/>
      <c r="B1" s="35"/>
      <c r="C1" s="35"/>
      <c r="D1" s="36"/>
      <c r="E1" s="35"/>
      <c r="F1" s="35"/>
      <c r="G1" s="36"/>
      <c r="H1" s="35"/>
      <c r="I1" s="35"/>
      <c r="J1" s="35"/>
    </row>
    <row r="2" spans="1:10">
      <c r="A2" s="37" t="s">
        <v>71</v>
      </c>
      <c r="B2" s="37"/>
      <c r="C2" s="37"/>
      <c r="D2" s="37"/>
      <c r="E2" s="37"/>
      <c r="F2" s="37"/>
      <c r="G2" s="37"/>
      <c r="H2" s="37"/>
      <c r="I2" s="37"/>
      <c r="J2" s="35"/>
    </row>
    <row r="3" spans="1:10">
      <c r="A3" s="38" t="s">
        <v>72</v>
      </c>
      <c r="B3" s="38"/>
      <c r="C3" s="38"/>
      <c r="D3" s="38"/>
      <c r="E3" s="38"/>
      <c r="F3" s="38"/>
      <c r="G3" s="38"/>
      <c r="H3" s="38"/>
      <c r="I3" s="38"/>
      <c r="J3" s="35"/>
    </row>
    <row r="4" spans="1:10">
      <c r="A4" s="38" t="s">
        <v>73</v>
      </c>
      <c r="B4" s="38"/>
      <c r="C4" s="38"/>
      <c r="D4" s="38"/>
      <c r="E4" s="38"/>
      <c r="F4" s="38"/>
      <c r="G4" s="38"/>
      <c r="H4" s="38"/>
      <c r="I4" s="38"/>
      <c r="J4" s="35"/>
    </row>
    <row r="5" spans="1:10">
      <c r="A5" s="35"/>
      <c r="B5" s="35"/>
      <c r="C5" s="35"/>
      <c r="D5" s="36"/>
      <c r="E5" s="35"/>
      <c r="F5" s="35"/>
      <c r="G5" s="36"/>
      <c r="H5" s="35" t="s">
        <v>48</v>
      </c>
      <c r="I5" s="35"/>
      <c r="J5" s="35"/>
    </row>
    <row r="6" spans="1:10">
      <c r="A6" s="35"/>
      <c r="B6" s="35"/>
      <c r="C6" s="35"/>
      <c r="D6" s="36"/>
      <c r="E6" s="35"/>
      <c r="F6" s="35"/>
      <c r="G6" s="36"/>
      <c r="H6" s="35"/>
      <c r="I6" s="35"/>
      <c r="J6" s="35"/>
    </row>
    <row r="7" spans="1:10">
      <c r="A7" s="35"/>
      <c r="B7" s="35"/>
      <c r="C7" s="35"/>
      <c r="D7" s="36"/>
      <c r="E7" s="35"/>
      <c r="F7" s="35"/>
      <c r="G7" s="36"/>
      <c r="H7" s="35" t="s">
        <v>48</v>
      </c>
      <c r="I7" s="35"/>
      <c r="J7" s="35"/>
    </row>
    <row r="8" spans="1:10" ht="18" customHeight="1">
      <c r="A8" s="35"/>
      <c r="B8" s="35"/>
      <c r="C8" s="35"/>
      <c r="D8" s="36"/>
      <c r="E8" s="37" t="s">
        <v>114</v>
      </c>
      <c r="F8" s="37"/>
      <c r="G8" s="39"/>
      <c r="H8" s="37" t="s">
        <v>74</v>
      </c>
      <c r="I8" s="37"/>
      <c r="J8" s="35"/>
    </row>
    <row r="9" spans="1:10" ht="18" customHeight="1">
      <c r="A9" s="35" t="s">
        <v>0</v>
      </c>
      <c r="B9" s="35"/>
      <c r="C9" s="35"/>
      <c r="D9" s="36"/>
      <c r="E9" s="36" t="s">
        <v>1</v>
      </c>
      <c r="F9" s="36" t="s">
        <v>1</v>
      </c>
      <c r="G9" s="36"/>
      <c r="H9" s="36" t="s">
        <v>1</v>
      </c>
      <c r="I9" s="36" t="s">
        <v>1</v>
      </c>
      <c r="J9" s="36" t="s">
        <v>1</v>
      </c>
    </row>
    <row r="10" spans="1:10" ht="18" customHeight="1">
      <c r="A10" s="35" t="s">
        <v>2</v>
      </c>
      <c r="B10" s="35"/>
      <c r="C10" s="35"/>
      <c r="D10" s="36"/>
      <c r="E10" s="36">
        <v>313</v>
      </c>
      <c r="F10" s="36">
        <v>313</v>
      </c>
      <c r="G10" s="36"/>
      <c r="H10" s="36">
        <v>313</v>
      </c>
      <c r="I10" s="36">
        <v>313</v>
      </c>
      <c r="J10" s="36">
        <v>313</v>
      </c>
    </row>
    <row r="11" spans="1:10" ht="18" customHeight="1">
      <c r="A11" s="35"/>
      <c r="B11" s="35"/>
      <c r="C11" s="35"/>
      <c r="D11" s="36"/>
      <c r="E11" s="36" t="s">
        <v>3</v>
      </c>
      <c r="F11" s="36" t="s">
        <v>3</v>
      </c>
      <c r="G11" s="36"/>
      <c r="H11" s="36" t="s">
        <v>4</v>
      </c>
      <c r="I11" s="36" t="s">
        <v>4</v>
      </c>
      <c r="J11" s="36" t="s">
        <v>3</v>
      </c>
    </row>
    <row r="12" spans="1:10" ht="18" customHeight="1">
      <c r="A12" s="35"/>
      <c r="B12" s="35"/>
      <c r="C12" s="35"/>
      <c r="D12" s="36"/>
      <c r="E12" s="36" t="s">
        <v>5</v>
      </c>
      <c r="F12" s="36" t="s">
        <v>6</v>
      </c>
      <c r="G12" s="36"/>
      <c r="H12" s="36" t="s">
        <v>5</v>
      </c>
      <c r="I12" s="36" t="s">
        <v>6</v>
      </c>
      <c r="J12" s="36" t="s">
        <v>112</v>
      </c>
    </row>
    <row r="13" spans="1:10" ht="18" customHeight="1">
      <c r="A13" s="35"/>
      <c r="B13" s="35"/>
      <c r="C13" s="35"/>
      <c r="D13" s="36"/>
      <c r="E13" s="35"/>
      <c r="F13" s="35"/>
      <c r="G13" s="36"/>
      <c r="H13" s="35"/>
      <c r="I13" s="35"/>
      <c r="J13" s="35"/>
    </row>
    <row r="14" spans="1:10" ht="18" customHeight="1">
      <c r="A14" s="40" t="s">
        <v>7</v>
      </c>
      <c r="B14" s="35"/>
      <c r="C14" s="35"/>
      <c r="D14" s="36"/>
      <c r="E14" s="35"/>
      <c r="F14" s="35"/>
      <c r="G14" s="36"/>
      <c r="H14" s="35"/>
      <c r="I14" s="35"/>
      <c r="J14" s="35"/>
    </row>
    <row r="15" spans="1:10" ht="18" customHeight="1">
      <c r="A15" s="35" t="s">
        <v>8</v>
      </c>
      <c r="B15" s="35"/>
      <c r="C15" s="35"/>
      <c r="D15" s="36" t="s">
        <v>9</v>
      </c>
      <c r="E15" s="41">
        <v>387</v>
      </c>
      <c r="F15" s="41">
        <v>387</v>
      </c>
      <c r="G15" s="36" t="s">
        <v>9</v>
      </c>
      <c r="H15" s="41">
        <v>387</v>
      </c>
      <c r="I15" s="41">
        <v>387</v>
      </c>
      <c r="J15" s="41">
        <v>387</v>
      </c>
    </row>
    <row r="16" spans="1:10" ht="18" customHeight="1">
      <c r="A16" s="35"/>
      <c r="B16" s="35"/>
      <c r="C16" s="35"/>
      <c r="D16" s="36"/>
      <c r="E16" s="35"/>
      <c r="F16" s="35"/>
      <c r="G16" s="36"/>
      <c r="H16" s="35"/>
      <c r="I16" s="35"/>
      <c r="J16" s="35"/>
    </row>
    <row r="17" spans="1:10">
      <c r="A17" s="35" t="s">
        <v>10</v>
      </c>
      <c r="B17" s="35"/>
      <c r="C17" s="35"/>
      <c r="D17" s="36"/>
      <c r="E17" s="41">
        <f>ROUND((E15*E10/12),2)</f>
        <v>10094.25</v>
      </c>
      <c r="F17" s="41">
        <f>ROUND((F15*F10/12),2)</f>
        <v>10094.25</v>
      </c>
      <c r="G17" s="42"/>
      <c r="H17" s="41">
        <f>ROUND((H15*H10/12),2)</f>
        <v>10094.25</v>
      </c>
      <c r="I17" s="41">
        <f>ROUND((I15*I10/12),2)</f>
        <v>10094.25</v>
      </c>
      <c r="J17" s="41">
        <f>ROUND((J15*J10/12),2)</f>
        <v>10094.25</v>
      </c>
    </row>
    <row r="18" spans="1:10" ht="19.5" customHeight="1">
      <c r="A18" s="35" t="s">
        <v>11</v>
      </c>
      <c r="B18" s="35"/>
      <c r="C18" s="35"/>
      <c r="D18" s="36"/>
      <c r="E18" s="41">
        <v>0</v>
      </c>
      <c r="F18" s="41">
        <f>F17*10%*1/3</f>
        <v>336.47500000000002</v>
      </c>
      <c r="G18" s="42"/>
      <c r="H18" s="41">
        <v>0</v>
      </c>
      <c r="I18" s="41">
        <f>+I17*10%*1/2</f>
        <v>504.71250000000003</v>
      </c>
      <c r="J18" s="41">
        <f>J17*10%*1/3</f>
        <v>336.47500000000002</v>
      </c>
    </row>
    <row r="19" spans="1:10" ht="18" customHeight="1">
      <c r="A19" s="35" t="s">
        <v>12</v>
      </c>
      <c r="B19" s="35"/>
      <c r="C19" s="35"/>
      <c r="D19" s="36"/>
      <c r="E19" s="41">
        <f>ROUND((E15*365/12/12),2)</f>
        <v>980.94</v>
      </c>
      <c r="F19" s="41">
        <f>ROUND((F15*365/12/12),2)</f>
        <v>980.94</v>
      </c>
      <c r="G19" s="42"/>
      <c r="H19" s="41">
        <f>ROUND((H15*365/12/12),2)</f>
        <v>980.94</v>
      </c>
      <c r="I19" s="41">
        <f>ROUND((I15*365/12/12),2)</f>
        <v>980.94</v>
      </c>
      <c r="J19" s="41">
        <f>ROUND((J15*365/12/12),2)</f>
        <v>980.94</v>
      </c>
    </row>
    <row r="20" spans="1:10" ht="18" customHeight="1">
      <c r="A20" s="35" t="s">
        <v>13</v>
      </c>
      <c r="B20" s="35"/>
      <c r="C20" s="35"/>
      <c r="D20" s="36"/>
      <c r="E20" s="41">
        <f>+E15*(5/12)</f>
        <v>161.25</v>
      </c>
      <c r="F20" s="41">
        <f>+F15*(5/12)</f>
        <v>161.25</v>
      </c>
      <c r="G20" s="42"/>
      <c r="H20" s="43">
        <f>H15*(5/12)</f>
        <v>161.25</v>
      </c>
      <c r="I20" s="43">
        <f>I15*(5/12)</f>
        <v>161.25</v>
      </c>
      <c r="J20" s="41">
        <f>+J15*(5/12)</f>
        <v>161.25</v>
      </c>
    </row>
    <row r="21" spans="1:10" ht="18" customHeight="1">
      <c r="A21" s="35" t="s">
        <v>14</v>
      </c>
      <c r="B21" s="35"/>
      <c r="C21" s="35"/>
      <c r="D21" s="36"/>
      <c r="E21" s="41">
        <v>100</v>
      </c>
      <c r="F21" s="41">
        <v>100</v>
      </c>
      <c r="G21" s="42"/>
      <c r="H21" s="44">
        <v>100</v>
      </c>
      <c r="I21" s="41">
        <v>100</v>
      </c>
      <c r="J21" s="41">
        <v>100</v>
      </c>
    </row>
    <row r="22" spans="1:10" ht="21" customHeight="1">
      <c r="A22" s="35" t="s">
        <v>15</v>
      </c>
      <c r="B22" s="35"/>
      <c r="C22" s="35"/>
      <c r="D22" s="36"/>
      <c r="E22" s="45">
        <v>0</v>
      </c>
      <c r="F22" s="45">
        <f>0*377/12</f>
        <v>0</v>
      </c>
      <c r="G22" s="46"/>
      <c r="H22" s="47">
        <f>+E54</f>
        <v>6558.1991666666663</v>
      </c>
      <c r="I22" s="47">
        <f>+I54</f>
        <v>7214.019166666666</v>
      </c>
      <c r="J22" s="45">
        <f>0*377/12</f>
        <v>0</v>
      </c>
    </row>
    <row r="23" spans="1:10" ht="18" customHeight="1">
      <c r="A23" s="35"/>
      <c r="B23" s="35"/>
      <c r="C23" s="35"/>
      <c r="D23" s="36"/>
      <c r="E23" s="43">
        <f>SUM(E17:E22)</f>
        <v>11336.44</v>
      </c>
      <c r="F23" s="43">
        <f>SUM(F17:F22)</f>
        <v>11672.915000000001</v>
      </c>
      <c r="G23" s="48"/>
      <c r="H23" s="43">
        <f>SUM(H17:H22)</f>
        <v>17894.639166666668</v>
      </c>
      <c r="I23" s="43">
        <f>SUM(I17:I22)</f>
        <v>19055.171666666665</v>
      </c>
      <c r="J23" s="43">
        <f>SUM(J17:J22)</f>
        <v>11672.915000000001</v>
      </c>
    </row>
    <row r="24" spans="1:10" ht="18" customHeight="1">
      <c r="A24" s="35"/>
      <c r="B24" s="35"/>
      <c r="C24" s="35"/>
      <c r="D24" s="36"/>
      <c r="E24" s="43"/>
      <c r="F24" s="35"/>
      <c r="G24" s="36"/>
      <c r="H24" s="35"/>
      <c r="I24" s="35"/>
      <c r="J24" s="35"/>
    </row>
    <row r="25" spans="1:10" ht="18" customHeight="1">
      <c r="A25" s="40" t="s">
        <v>16</v>
      </c>
      <c r="B25" s="35"/>
      <c r="C25" s="35"/>
      <c r="D25" s="36"/>
      <c r="E25" s="35"/>
      <c r="F25" s="35"/>
      <c r="G25" s="36"/>
      <c r="H25" s="35"/>
      <c r="I25" s="35"/>
      <c r="J25" s="35"/>
    </row>
    <row r="26" spans="1:10" ht="18" customHeight="1">
      <c r="A26" s="35" t="s">
        <v>49</v>
      </c>
      <c r="B26" s="35"/>
      <c r="C26" s="35"/>
      <c r="D26" s="36" t="s">
        <v>9</v>
      </c>
      <c r="E26" s="49">
        <f>+E15*22.5/12</f>
        <v>725.625</v>
      </c>
      <c r="F26" s="49">
        <f>+F15*22.5/12</f>
        <v>725.625</v>
      </c>
      <c r="G26" s="36" t="s">
        <v>9</v>
      </c>
      <c r="H26" s="41">
        <f>+H15*22.5/12</f>
        <v>725.625</v>
      </c>
      <c r="I26" s="41">
        <f>+I15*22.5/12</f>
        <v>725.625</v>
      </c>
      <c r="J26" s="49">
        <f>+J15*22.5/12</f>
        <v>725.625</v>
      </c>
    </row>
    <row r="27" spans="1:10" ht="18" customHeight="1">
      <c r="A27" s="35" t="s">
        <v>18</v>
      </c>
      <c r="B27" s="35"/>
      <c r="C27" s="35"/>
      <c r="D27" s="36"/>
      <c r="E27" s="49">
        <v>892.5</v>
      </c>
      <c r="F27" s="49">
        <v>892.5</v>
      </c>
      <c r="G27" s="42"/>
      <c r="H27" s="49">
        <v>1445</v>
      </c>
      <c r="I27" s="49">
        <v>1530</v>
      </c>
      <c r="J27" s="49">
        <v>892.5</v>
      </c>
    </row>
    <row r="28" spans="1:10" ht="18" customHeight="1">
      <c r="A28" s="35" t="s">
        <v>19</v>
      </c>
      <c r="B28" s="35"/>
      <c r="C28" s="35"/>
      <c r="D28" s="36"/>
      <c r="E28" s="49">
        <v>0</v>
      </c>
      <c r="F28" s="49">
        <v>0</v>
      </c>
      <c r="G28" s="42"/>
      <c r="H28" s="49">
        <v>0</v>
      </c>
      <c r="I28" s="49">
        <v>0</v>
      </c>
      <c r="J28" s="49">
        <v>0</v>
      </c>
    </row>
    <row r="29" spans="1:10" ht="18" customHeight="1">
      <c r="A29" s="35" t="s">
        <v>20</v>
      </c>
      <c r="B29" s="35"/>
      <c r="C29" s="35"/>
      <c r="D29" s="36"/>
      <c r="E29" s="49">
        <f>(E17*0.045)/2</f>
        <v>227.12062499999999</v>
      </c>
      <c r="F29" s="49">
        <f>(F17*0.045)/2</f>
        <v>227.12062499999999</v>
      </c>
      <c r="G29" s="42"/>
      <c r="H29" s="41">
        <f>ROUND((H17*0.045/2),2)</f>
        <v>227.12</v>
      </c>
      <c r="I29" s="41">
        <f>ROUND((I17*0.045/2),2)</f>
        <v>227.12</v>
      </c>
      <c r="J29" s="49">
        <f>(J17*0.045)/2</f>
        <v>227.12062499999999</v>
      </c>
    </row>
    <row r="30" spans="1:10" ht="18" customHeight="1">
      <c r="A30" s="35" t="s">
        <v>21</v>
      </c>
      <c r="B30" s="35"/>
      <c r="C30" s="35"/>
      <c r="D30" s="36"/>
      <c r="E30" s="49">
        <v>10</v>
      </c>
      <c r="F30" s="49">
        <v>10</v>
      </c>
      <c r="G30" s="42"/>
      <c r="H30" s="41">
        <v>30</v>
      </c>
      <c r="I30" s="41">
        <v>30</v>
      </c>
      <c r="J30" s="49">
        <v>10</v>
      </c>
    </row>
    <row r="31" spans="1:10" ht="18" customHeight="1">
      <c r="A31" s="35" t="s">
        <v>22</v>
      </c>
      <c r="B31" s="35"/>
      <c r="C31" s="35"/>
      <c r="D31" s="36"/>
      <c r="E31" s="50">
        <v>100</v>
      </c>
      <c r="F31" s="50">
        <v>100</v>
      </c>
      <c r="G31" s="46"/>
      <c r="H31" s="45">
        <v>100</v>
      </c>
      <c r="I31" s="45">
        <v>100</v>
      </c>
      <c r="J31" s="50">
        <v>100</v>
      </c>
    </row>
    <row r="32" spans="1:10" ht="18" customHeight="1">
      <c r="A32" s="35"/>
      <c r="B32" s="35"/>
      <c r="C32" s="35"/>
      <c r="D32" s="36"/>
      <c r="E32" s="51">
        <f>SUM(E26:E31)</f>
        <v>1955.245625</v>
      </c>
      <c r="F32" s="51">
        <f>SUM(F26:F31)</f>
        <v>1955.245625</v>
      </c>
      <c r="G32" s="48"/>
      <c r="H32" s="43">
        <f>SUM(H26:H31)</f>
        <v>2527.7449999999999</v>
      </c>
      <c r="I32" s="43">
        <f>SUM(I26:I31)</f>
        <v>2612.7449999999999</v>
      </c>
      <c r="J32" s="51">
        <f>SUM(J26:J31)</f>
        <v>1955.245625</v>
      </c>
    </row>
    <row r="33" spans="1:10" ht="18" customHeight="1">
      <c r="A33" s="35"/>
      <c r="B33" s="35"/>
      <c r="C33" s="35"/>
      <c r="D33" s="36"/>
      <c r="E33" s="35"/>
      <c r="F33" s="35"/>
      <c r="G33" s="36"/>
      <c r="H33" s="35"/>
      <c r="I33" s="35"/>
      <c r="J33" s="35"/>
    </row>
    <row r="34" spans="1:10" ht="18" customHeight="1">
      <c r="A34" s="35"/>
      <c r="B34" s="35"/>
      <c r="C34" s="35"/>
      <c r="D34" s="36"/>
      <c r="E34" s="40"/>
      <c r="F34" s="40"/>
      <c r="G34" s="39"/>
      <c r="H34" s="35"/>
      <c r="I34" s="35"/>
      <c r="J34" s="40"/>
    </row>
    <row r="35" spans="1:10" ht="18" customHeight="1">
      <c r="A35" s="40" t="s">
        <v>23</v>
      </c>
      <c r="B35" s="35"/>
      <c r="C35" s="35"/>
      <c r="D35" s="36" t="s">
        <v>9</v>
      </c>
      <c r="E35" s="52">
        <f>+E23+E32</f>
        <v>13291.685625</v>
      </c>
      <c r="F35" s="52">
        <f>+F23+F32</f>
        <v>13628.160625</v>
      </c>
      <c r="G35" s="36" t="s">
        <v>9</v>
      </c>
      <c r="H35" s="52">
        <f>+H32+H23</f>
        <v>20422.384166666667</v>
      </c>
      <c r="I35" s="52">
        <f>+I32+I23</f>
        <v>21667.916666666664</v>
      </c>
      <c r="J35" s="52">
        <f>+J23+J32</f>
        <v>13628.160625</v>
      </c>
    </row>
    <row r="36" spans="1:10" ht="18" customHeight="1">
      <c r="A36" s="35"/>
      <c r="B36" s="35"/>
      <c r="C36" s="35"/>
      <c r="D36" s="36"/>
      <c r="E36" s="35"/>
      <c r="F36" s="35"/>
      <c r="G36" s="36"/>
      <c r="H36" s="35"/>
      <c r="I36" s="35"/>
      <c r="J36" s="35"/>
    </row>
    <row r="37" spans="1:10" ht="18" customHeight="1">
      <c r="A37" s="40" t="s">
        <v>24</v>
      </c>
      <c r="B37" s="35"/>
      <c r="C37" s="35"/>
      <c r="D37" s="36"/>
      <c r="E37" s="35"/>
      <c r="F37" s="35"/>
      <c r="G37" s="36"/>
      <c r="H37" s="35"/>
      <c r="I37" s="35"/>
      <c r="J37" s="35"/>
    </row>
    <row r="38" spans="1:10" ht="15.75" customHeight="1">
      <c r="A38" s="53" t="s">
        <v>25</v>
      </c>
      <c r="B38" s="53"/>
      <c r="C38" s="34"/>
      <c r="D38" s="36"/>
      <c r="E38" s="54">
        <f>E35*C38</f>
        <v>0</v>
      </c>
      <c r="F38" s="54">
        <f>F35*C38</f>
        <v>0</v>
      </c>
      <c r="G38" s="55"/>
      <c r="H38" s="52">
        <f>H35*0.24</f>
        <v>4901.3721999999998</v>
      </c>
      <c r="I38" s="52">
        <f>I35*0.24</f>
        <v>5200.2999999999993</v>
      </c>
      <c r="J38" s="54">
        <f>J35*C38</f>
        <v>0</v>
      </c>
    </row>
    <row r="39" spans="1:10" ht="18" customHeight="1">
      <c r="A39" s="35"/>
      <c r="B39" s="35"/>
      <c r="C39" s="35"/>
      <c r="D39" s="36"/>
      <c r="E39" s="40"/>
      <c r="F39" s="40"/>
      <c r="G39" s="39"/>
      <c r="H39" s="40"/>
      <c r="I39" s="40"/>
      <c r="J39" s="40"/>
    </row>
    <row r="40" spans="1:10" ht="18" customHeight="1">
      <c r="A40" s="40" t="s">
        <v>26</v>
      </c>
      <c r="B40" s="35"/>
      <c r="C40" s="35"/>
      <c r="D40" s="36"/>
      <c r="E40" s="54">
        <f>+E38*0.12</f>
        <v>0</v>
      </c>
      <c r="F40" s="54">
        <f>+F38*0.12</f>
        <v>0</v>
      </c>
      <c r="G40" s="55"/>
      <c r="H40" s="54">
        <f>+H38*0.12</f>
        <v>588.1646639999999</v>
      </c>
      <c r="I40" s="54">
        <f>+I38*0.12</f>
        <v>624.03599999999994</v>
      </c>
      <c r="J40" s="54">
        <f>+J38*0.12</f>
        <v>0</v>
      </c>
    </row>
    <row r="41" spans="1:10" ht="18" customHeight="1">
      <c r="A41" s="35"/>
      <c r="B41" s="35"/>
      <c r="C41" s="35"/>
      <c r="D41" s="36"/>
      <c r="E41" s="35"/>
      <c r="F41" s="35"/>
      <c r="G41" s="36"/>
      <c r="H41" s="35"/>
      <c r="I41" s="35"/>
      <c r="J41" s="35"/>
    </row>
    <row r="42" spans="1:10" ht="18" customHeight="1" thickBot="1">
      <c r="A42" s="40" t="s">
        <v>27</v>
      </c>
      <c r="B42" s="35"/>
      <c r="C42" s="35"/>
      <c r="D42" s="36" t="s">
        <v>9</v>
      </c>
      <c r="E42" s="56">
        <f>+E35+E38+E40</f>
        <v>13291.685625</v>
      </c>
      <c r="F42" s="56">
        <f>+F35+F38+F40</f>
        <v>13628.160625</v>
      </c>
      <c r="G42" s="36" t="s">
        <v>9</v>
      </c>
      <c r="H42" s="57">
        <f>H35+H38+H40</f>
        <v>25911.921030666668</v>
      </c>
      <c r="I42" s="57">
        <f>I35+I38+I40</f>
        <v>27492.252666666664</v>
      </c>
      <c r="J42" s="56">
        <f>+J35+J38+J40</f>
        <v>13628.160625</v>
      </c>
    </row>
    <row r="43" spans="1:10" ht="18" customHeight="1" thickTop="1">
      <c r="A43" s="35"/>
      <c r="B43" s="35"/>
      <c r="C43" s="35"/>
      <c r="D43" s="36"/>
      <c r="E43" s="35"/>
      <c r="F43" s="35"/>
      <c r="G43" s="36"/>
      <c r="H43" s="35"/>
      <c r="I43" s="35"/>
      <c r="J43" s="35"/>
    </row>
    <row r="44" spans="1:10" ht="18" hidden="1" customHeight="1">
      <c r="A44" s="35"/>
      <c r="B44" s="35"/>
      <c r="C44" s="35"/>
      <c r="D44" s="36"/>
      <c r="E44" s="35"/>
      <c r="F44" s="35"/>
      <c r="G44" s="36"/>
      <c r="H44" s="35"/>
      <c r="I44" s="35"/>
      <c r="J44" s="35"/>
    </row>
    <row r="45" spans="1:10" hidden="1">
      <c r="A45" s="35"/>
      <c r="B45" s="35"/>
      <c r="C45" s="35"/>
      <c r="D45" s="36"/>
      <c r="E45" s="41"/>
      <c r="F45" s="41"/>
      <c r="G45" s="42"/>
      <c r="H45" s="35"/>
      <c r="I45" s="35"/>
      <c r="J45" s="41"/>
    </row>
    <row r="46" spans="1:10" hidden="1">
      <c r="A46" s="35"/>
      <c r="B46" s="35" t="s">
        <v>28</v>
      </c>
      <c r="C46" s="35"/>
      <c r="D46" s="36"/>
      <c r="E46" s="43"/>
      <c r="F46" s="43"/>
      <c r="G46" s="48"/>
      <c r="H46" s="35" t="s">
        <v>29</v>
      </c>
      <c r="I46" s="35"/>
      <c r="J46" s="43"/>
    </row>
    <row r="47" spans="1:10" hidden="1">
      <c r="A47" s="35"/>
      <c r="B47" s="35"/>
      <c r="C47" s="35"/>
      <c r="D47" s="36"/>
      <c r="E47" s="35"/>
      <c r="F47" s="35"/>
      <c r="G47" s="36"/>
      <c r="H47" s="35"/>
      <c r="I47" s="35"/>
      <c r="J47" s="35"/>
    </row>
    <row r="48" spans="1:10" hidden="1">
      <c r="A48" s="35"/>
      <c r="B48" s="35" t="s">
        <v>30</v>
      </c>
      <c r="C48" s="48">
        <f>E15/8</f>
        <v>48.375</v>
      </c>
      <c r="D48" s="36"/>
      <c r="E48" s="35"/>
      <c r="F48" s="35"/>
      <c r="G48" s="36"/>
      <c r="H48" s="35" t="s">
        <v>30</v>
      </c>
      <c r="I48" s="48">
        <f>H15/8</f>
        <v>48.375</v>
      </c>
      <c r="J48" s="35"/>
    </row>
    <row r="49" spans="1:10" hidden="1">
      <c r="A49" s="36">
        <v>295</v>
      </c>
      <c r="B49" s="35" t="s">
        <v>31</v>
      </c>
      <c r="C49" s="35"/>
      <c r="D49" s="36"/>
      <c r="E49" s="41">
        <f>ROUND((C48*1.25*295*4),2)</f>
        <v>71353.13</v>
      </c>
      <c r="F49" s="35"/>
      <c r="G49" s="36"/>
      <c r="H49" s="35" t="s">
        <v>32</v>
      </c>
      <c r="I49" s="58">
        <f>ROUND((I48*1.375*A49*4),2)</f>
        <v>78488.44</v>
      </c>
      <c r="J49" s="35"/>
    </row>
    <row r="50" spans="1:10" hidden="1">
      <c r="A50" s="36">
        <v>12</v>
      </c>
      <c r="B50" s="35" t="s">
        <v>33</v>
      </c>
      <c r="C50" s="35"/>
      <c r="D50" s="36"/>
      <c r="E50" s="41">
        <f>ROUND((C48*2.6*12*4),2)</f>
        <v>6037.2</v>
      </c>
      <c r="F50" s="35"/>
      <c r="G50" s="36"/>
      <c r="H50" s="35" t="s">
        <v>34</v>
      </c>
      <c r="I50" s="58">
        <f>ROUND((I48*2.86*A50*4),2)</f>
        <v>6640.92</v>
      </c>
      <c r="J50" s="35"/>
    </row>
    <row r="51" spans="1:10" hidden="1">
      <c r="A51" s="36">
        <v>4</v>
      </c>
      <c r="B51" s="35" t="s">
        <v>35</v>
      </c>
      <c r="C51" s="35"/>
      <c r="D51" s="36"/>
      <c r="E51" s="41">
        <f>ROUND((C48*1.69*4*4),2)</f>
        <v>1308.06</v>
      </c>
      <c r="F51" s="35"/>
      <c r="G51" s="36"/>
      <c r="H51" s="35" t="s">
        <v>36</v>
      </c>
      <c r="I51" s="47">
        <f>ROUND((I48*1.859*A51*4),2)</f>
        <v>1438.87</v>
      </c>
      <c r="J51" s="35"/>
    </row>
    <row r="52" spans="1:10" hidden="1">
      <c r="A52" s="35"/>
      <c r="B52" s="35"/>
      <c r="C52" s="35"/>
      <c r="D52" s="36"/>
      <c r="E52" s="59">
        <f>SUM(E49:E51)</f>
        <v>78698.39</v>
      </c>
      <c r="F52" s="35"/>
      <c r="G52" s="36"/>
      <c r="H52" s="35"/>
      <c r="I52" s="58">
        <f>SUM(I49:I51)</f>
        <v>86568.23</v>
      </c>
      <c r="J52" s="35"/>
    </row>
    <row r="53" spans="1:10" hidden="1">
      <c r="A53" s="35"/>
      <c r="B53" s="35" t="s">
        <v>37</v>
      </c>
      <c r="C53" s="35"/>
      <c r="D53" s="36"/>
      <c r="E53" s="60">
        <v>12</v>
      </c>
      <c r="F53" s="35"/>
      <c r="G53" s="36"/>
      <c r="H53" s="35" t="s">
        <v>38</v>
      </c>
      <c r="I53" s="60">
        <v>12</v>
      </c>
      <c r="J53" s="35"/>
    </row>
    <row r="54" spans="1:10" ht="16.5" hidden="1" thickBot="1">
      <c r="A54" s="35"/>
      <c r="B54" s="35" t="s">
        <v>39</v>
      </c>
      <c r="C54" s="35"/>
      <c r="D54" s="36"/>
      <c r="E54" s="56">
        <f>E52/E53</f>
        <v>6558.1991666666663</v>
      </c>
      <c r="F54" s="35"/>
      <c r="G54" s="36"/>
      <c r="H54" s="35" t="s">
        <v>40</v>
      </c>
      <c r="I54" s="61">
        <f>I52/I53</f>
        <v>7214.019166666666</v>
      </c>
      <c r="J54" s="35"/>
    </row>
    <row r="55" spans="1:10" hidden="1">
      <c r="A55" s="35"/>
      <c r="B55" s="35"/>
      <c r="C55" s="35"/>
      <c r="D55" s="36"/>
      <c r="E55" s="43"/>
      <c r="F55" s="35"/>
      <c r="G55" s="36"/>
      <c r="H55" s="35"/>
      <c r="I55" s="35"/>
      <c r="J55" s="35"/>
    </row>
    <row r="56" spans="1:10" hidden="1">
      <c r="A56" s="35"/>
      <c r="B56" s="40" t="s">
        <v>41</v>
      </c>
      <c r="C56" s="35"/>
      <c r="D56" s="36"/>
      <c r="E56" s="43"/>
      <c r="F56" s="35"/>
      <c r="G56" s="36"/>
      <c r="H56" s="40"/>
      <c r="I56" s="35"/>
      <c r="J56" s="35"/>
    </row>
    <row r="57" spans="1:10" ht="15" hidden="1" customHeight="1">
      <c r="A57" s="35"/>
      <c r="B57" s="35" t="s">
        <v>42</v>
      </c>
      <c r="C57" s="35"/>
      <c r="D57" s="36"/>
      <c r="E57" s="35"/>
      <c r="F57" s="35"/>
      <c r="G57" s="36"/>
      <c r="H57" s="35"/>
      <c r="I57" s="35"/>
      <c r="J57" s="35"/>
    </row>
    <row r="58" spans="1:10" hidden="1">
      <c r="A58" s="35"/>
      <c r="B58" s="35" t="s">
        <v>43</v>
      </c>
      <c r="C58" s="35"/>
      <c r="D58" s="36"/>
      <c r="E58" s="35"/>
      <c r="F58" s="35"/>
      <c r="G58" s="36"/>
      <c r="H58" s="35"/>
      <c r="I58" s="35"/>
      <c r="J58" s="35"/>
    </row>
    <row r="59" spans="1:10" hidden="1">
      <c r="A59" s="35"/>
      <c r="B59" s="35"/>
      <c r="C59" s="35"/>
      <c r="D59" s="36"/>
      <c r="E59" s="35"/>
      <c r="F59" s="35"/>
      <c r="G59" s="36"/>
      <c r="H59" s="35"/>
      <c r="I59" s="35"/>
      <c r="J59" s="35"/>
    </row>
    <row r="60" spans="1:10" ht="16.5" hidden="1" thickBot="1">
      <c r="A60" s="35"/>
      <c r="B60" s="35" t="s">
        <v>44</v>
      </c>
      <c r="C60" s="35"/>
      <c r="D60" s="36"/>
      <c r="E60" s="62">
        <f>E23-E19</f>
        <v>10355.5</v>
      </c>
      <c r="F60" s="62">
        <f>F23-F19</f>
        <v>10691.975</v>
      </c>
      <c r="G60" s="63">
        <f t="shared" ref="G60" si="0">G23-G19</f>
        <v>0</v>
      </c>
      <c r="H60" s="62">
        <f>H23-H19</f>
        <v>16913.699166666669</v>
      </c>
      <c r="I60" s="62">
        <f>I23-I19</f>
        <v>18074.231666666667</v>
      </c>
      <c r="J60" s="62">
        <f>J23-J19</f>
        <v>10691.975</v>
      </c>
    </row>
    <row r="61" spans="1:10" hidden="1">
      <c r="A61" s="35"/>
      <c r="B61" s="35"/>
      <c r="C61" s="35"/>
      <c r="D61" s="36"/>
      <c r="E61" s="35"/>
      <c r="F61" s="35"/>
      <c r="G61" s="36"/>
      <c r="H61" s="35"/>
      <c r="I61" s="35"/>
      <c r="J61" s="35"/>
    </row>
    <row r="62" spans="1:10" hidden="1">
      <c r="A62" s="35"/>
      <c r="B62" s="35"/>
      <c r="C62" s="35"/>
      <c r="D62" s="36"/>
      <c r="E62" s="35"/>
      <c r="F62" s="35"/>
      <c r="G62" s="36"/>
      <c r="H62" s="35"/>
      <c r="I62" s="35"/>
      <c r="J62" s="35"/>
    </row>
    <row r="63" spans="1:10">
      <c r="A63" s="35"/>
      <c r="B63" s="35"/>
      <c r="C63" s="35"/>
      <c r="D63" s="36"/>
      <c r="E63" s="35"/>
      <c r="F63" s="35"/>
      <c r="G63" s="36"/>
      <c r="H63" s="35"/>
      <c r="I63" s="35"/>
      <c r="J63" s="35"/>
    </row>
    <row r="64" spans="1:10">
      <c r="A64" s="35" t="s">
        <v>75</v>
      </c>
      <c r="B64" s="35"/>
      <c r="C64" s="35"/>
      <c r="D64" s="36"/>
      <c r="E64" s="35"/>
      <c r="F64" s="35"/>
      <c r="G64" s="36"/>
      <c r="H64" s="35"/>
      <c r="I64" s="35"/>
      <c r="J64" s="35"/>
    </row>
    <row r="65" spans="1:10">
      <c r="A65" s="35"/>
      <c r="B65" s="35"/>
      <c r="C65" s="35"/>
      <c r="D65" s="36"/>
      <c r="E65" s="35"/>
      <c r="F65" s="35"/>
      <c r="G65" s="36"/>
      <c r="H65" s="35"/>
      <c r="I65" s="35"/>
      <c r="J65" s="35"/>
    </row>
    <row r="66" spans="1:10">
      <c r="A66" s="35" t="s">
        <v>109</v>
      </c>
      <c r="B66" s="35"/>
      <c r="C66" s="35"/>
      <c r="D66" s="36"/>
      <c r="E66" s="36">
        <v>7</v>
      </c>
      <c r="F66" s="36">
        <v>4</v>
      </c>
      <c r="G66" s="36"/>
      <c r="H66" s="35"/>
      <c r="I66" s="35"/>
      <c r="J66" s="36">
        <v>2</v>
      </c>
    </row>
    <row r="67" spans="1:10">
      <c r="A67" s="35"/>
      <c r="B67" s="35"/>
      <c r="C67" s="35"/>
      <c r="D67" s="36"/>
      <c r="E67" s="35"/>
      <c r="F67" s="35"/>
      <c r="G67" s="36"/>
      <c r="H67" s="35"/>
      <c r="I67" s="35"/>
      <c r="J67" s="35"/>
    </row>
    <row r="68" spans="1:10">
      <c r="A68" s="35" t="s">
        <v>110</v>
      </c>
      <c r="B68" s="35"/>
      <c r="C68" s="35"/>
      <c r="D68" s="36"/>
      <c r="E68" s="64">
        <f>E66*E42</f>
        <v>93041.799375000002</v>
      </c>
      <c r="F68" s="64">
        <f>F66*F42</f>
        <v>54512.642500000002</v>
      </c>
      <c r="G68" s="36"/>
      <c r="H68" s="35"/>
      <c r="I68" s="35"/>
      <c r="J68" s="64">
        <f>J66*J42</f>
        <v>27256.321250000001</v>
      </c>
    </row>
    <row r="69" spans="1:10">
      <c r="A69" s="29"/>
      <c r="B69" s="29"/>
      <c r="C69" s="29"/>
      <c r="D69" s="28"/>
      <c r="E69" s="29"/>
      <c r="F69" s="29"/>
      <c r="G69" s="28"/>
      <c r="H69" s="29"/>
      <c r="I69" s="29"/>
      <c r="J69" s="29"/>
    </row>
    <row r="70" spans="1:10" ht="28.5" customHeight="1" thickBot="1">
      <c r="A70" s="33" t="s">
        <v>111</v>
      </c>
      <c r="B70" s="33"/>
      <c r="C70" s="33"/>
      <c r="D70" s="28"/>
      <c r="E70" s="30">
        <f>E68*12</f>
        <v>1116501.5925</v>
      </c>
      <c r="F70" s="30">
        <f>F68*12</f>
        <v>654151.71</v>
      </c>
      <c r="G70" s="28"/>
      <c r="H70" s="29"/>
      <c r="I70" s="29"/>
      <c r="J70" s="30">
        <f>J68*12</f>
        <v>327075.85499999998</v>
      </c>
    </row>
    <row r="71" spans="1:10" ht="19.5" customHeight="1" thickTop="1"/>
  </sheetData>
  <sheetProtection algorithmName="SHA-512" hashValue="DDnW8s1dmqbi8z5sdfe+alKtFIq7mOwL9s1yJjM7XRZVHrXoSQ7/pqZ9M7xD0M1dSnVZKrB7GTOzQmjS3oKrBA==" saltValue="e+dWS9nHGFWyRB4Urzph7A==" spinCount="100000" sheet="1" objects="1" scenarios="1"/>
  <mergeCells count="7">
    <mergeCell ref="A70:C70"/>
    <mergeCell ref="A2:I2"/>
    <mergeCell ref="A3:I3"/>
    <mergeCell ref="A4:I4"/>
    <mergeCell ref="E8:F8"/>
    <mergeCell ref="H8:I8"/>
    <mergeCell ref="A38:B38"/>
  </mergeCells>
  <pageMargins left="0.70866141732283505" right="0.70866141732283505" top="0.74803149606299202" bottom="0.74803149606299202" header="0.31496062992126" footer="0.31496062992126"/>
  <pageSetup paperSize="124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9509C-DF90-442D-AECC-23C3A1233879}">
  <dimension ref="A1:K69"/>
  <sheetViews>
    <sheetView topLeftCell="A9" zoomScale="82" zoomScaleNormal="82" workbookViewId="0">
      <selection activeCell="C38" sqref="C38"/>
    </sheetView>
  </sheetViews>
  <sheetFormatPr defaultColWidth="9.140625" defaultRowHeight="15.75"/>
  <cols>
    <col min="1" max="1" width="4.5703125" style="1" customWidth="1"/>
    <col min="2" max="2" width="54" style="1" customWidth="1"/>
    <col min="3" max="3" width="7.28515625" style="1" customWidth="1"/>
    <col min="4" max="4" width="3.42578125" style="14" customWidth="1"/>
    <col min="5" max="5" width="18.140625" style="1" customWidth="1"/>
    <col min="6" max="6" width="18" style="1" customWidth="1"/>
    <col min="7" max="7" width="3.42578125" style="14" hidden="1" customWidth="1"/>
    <col min="8" max="8" width="21.85546875" style="1" hidden="1" customWidth="1"/>
    <col min="9" max="9" width="22" style="1" hidden="1" customWidth="1"/>
    <col min="10" max="10" width="0" style="1" hidden="1" customWidth="1"/>
    <col min="11" max="11" width="18" style="1" customWidth="1"/>
    <col min="12" max="16384" width="9.140625" style="1"/>
  </cols>
  <sheetData>
    <row r="1" spans="1:11">
      <c r="A1" s="35"/>
      <c r="B1" s="35"/>
      <c r="C1" s="35"/>
      <c r="D1" s="36"/>
      <c r="E1" s="35"/>
      <c r="F1" s="35"/>
      <c r="G1" s="36"/>
      <c r="H1" s="35"/>
      <c r="I1" s="35"/>
      <c r="J1" s="35"/>
      <c r="K1" s="35"/>
    </row>
    <row r="2" spans="1:11">
      <c r="A2" s="37" t="s">
        <v>76</v>
      </c>
      <c r="B2" s="37"/>
      <c r="C2" s="37"/>
      <c r="D2" s="37"/>
      <c r="E2" s="37"/>
      <c r="F2" s="37"/>
      <c r="G2" s="37"/>
      <c r="H2" s="37"/>
      <c r="I2" s="37"/>
      <c r="J2" s="35"/>
      <c r="K2" s="35"/>
    </row>
    <row r="3" spans="1:11">
      <c r="A3" s="38" t="s">
        <v>77</v>
      </c>
      <c r="B3" s="38"/>
      <c r="C3" s="38"/>
      <c r="D3" s="38"/>
      <c r="E3" s="38"/>
      <c r="F3" s="38"/>
      <c r="G3" s="38"/>
      <c r="H3" s="38"/>
      <c r="I3" s="38"/>
      <c r="J3" s="35"/>
      <c r="K3" s="35"/>
    </row>
    <row r="4" spans="1:11">
      <c r="A4" s="38" t="s">
        <v>78</v>
      </c>
      <c r="B4" s="38"/>
      <c r="C4" s="38"/>
      <c r="D4" s="38"/>
      <c r="E4" s="38"/>
      <c r="F4" s="38"/>
      <c r="G4" s="38"/>
      <c r="H4" s="38"/>
      <c r="I4" s="38"/>
      <c r="J4" s="35"/>
      <c r="K4" s="35"/>
    </row>
    <row r="5" spans="1:11">
      <c r="A5" s="35"/>
      <c r="B5" s="35"/>
      <c r="C5" s="35"/>
      <c r="D5" s="36"/>
      <c r="E5" s="35"/>
      <c r="F5" s="35"/>
      <c r="G5" s="36"/>
      <c r="H5" s="35" t="s">
        <v>48</v>
      </c>
      <c r="I5" s="35"/>
      <c r="J5" s="35"/>
      <c r="K5" s="35"/>
    </row>
    <row r="6" spans="1:11">
      <c r="A6" s="35"/>
      <c r="B6" s="35"/>
      <c r="C6" s="35"/>
      <c r="D6" s="36"/>
      <c r="E6" s="35"/>
      <c r="F6" s="35"/>
      <c r="G6" s="36"/>
      <c r="H6" s="35"/>
      <c r="I6" s="35"/>
      <c r="J6" s="35"/>
      <c r="K6" s="35"/>
    </row>
    <row r="7" spans="1:11">
      <c r="A7" s="35"/>
      <c r="B7" s="35"/>
      <c r="C7" s="35"/>
      <c r="D7" s="36"/>
      <c r="E7" s="35"/>
      <c r="F7" s="35"/>
      <c r="G7" s="36"/>
      <c r="H7" s="35" t="s">
        <v>48</v>
      </c>
      <c r="I7" s="35"/>
      <c r="J7" s="35"/>
      <c r="K7" s="35"/>
    </row>
    <row r="8" spans="1:11" ht="18" customHeight="1">
      <c r="A8" s="35"/>
      <c r="B8" s="35"/>
      <c r="C8" s="35"/>
      <c r="D8" s="36"/>
      <c r="E8" s="37" t="s">
        <v>113</v>
      </c>
      <c r="F8" s="37"/>
      <c r="G8" s="36"/>
      <c r="H8" s="37" t="s">
        <v>80</v>
      </c>
      <c r="I8" s="37"/>
      <c r="J8" s="35"/>
      <c r="K8" s="35"/>
    </row>
    <row r="9" spans="1:11" ht="18" customHeight="1">
      <c r="A9" s="35" t="s">
        <v>0</v>
      </c>
      <c r="B9" s="35"/>
      <c r="C9" s="35"/>
      <c r="D9" s="36"/>
      <c r="E9" s="36" t="s">
        <v>1</v>
      </c>
      <c r="F9" s="36" t="s">
        <v>1</v>
      </c>
      <c r="G9" s="36"/>
      <c r="H9" s="36" t="s">
        <v>1</v>
      </c>
      <c r="I9" s="36" t="s">
        <v>1</v>
      </c>
      <c r="J9" s="35"/>
      <c r="K9" s="36" t="s">
        <v>1</v>
      </c>
    </row>
    <row r="10" spans="1:11" ht="18" customHeight="1">
      <c r="A10" s="35" t="s">
        <v>2</v>
      </c>
      <c r="B10" s="35"/>
      <c r="C10" s="35"/>
      <c r="D10" s="36"/>
      <c r="E10" s="36">
        <v>313</v>
      </c>
      <c r="F10" s="36">
        <v>313</v>
      </c>
      <c r="G10" s="36"/>
      <c r="H10" s="36">
        <v>313</v>
      </c>
      <c r="I10" s="36">
        <v>313</v>
      </c>
      <c r="J10" s="35"/>
      <c r="K10" s="36">
        <v>313</v>
      </c>
    </row>
    <row r="11" spans="1:11" ht="18" customHeight="1">
      <c r="A11" s="35"/>
      <c r="B11" s="35"/>
      <c r="C11" s="35"/>
      <c r="D11" s="36"/>
      <c r="E11" s="36" t="s">
        <v>3</v>
      </c>
      <c r="F11" s="36" t="s">
        <v>3</v>
      </c>
      <c r="G11" s="36"/>
      <c r="H11" s="36" t="s">
        <v>4</v>
      </c>
      <c r="I11" s="36" t="s">
        <v>4</v>
      </c>
      <c r="J11" s="35"/>
      <c r="K11" s="36" t="s">
        <v>3</v>
      </c>
    </row>
    <row r="12" spans="1:11" ht="18" customHeight="1">
      <c r="A12" s="35"/>
      <c r="B12" s="35"/>
      <c r="C12" s="35"/>
      <c r="D12" s="36"/>
      <c r="E12" s="36" t="s">
        <v>5</v>
      </c>
      <c r="F12" s="36" t="s">
        <v>6</v>
      </c>
      <c r="G12" s="36"/>
      <c r="H12" s="36" t="s">
        <v>5</v>
      </c>
      <c r="I12" s="36" t="s">
        <v>6</v>
      </c>
      <c r="J12" s="35"/>
      <c r="K12" s="36" t="s">
        <v>112</v>
      </c>
    </row>
    <row r="13" spans="1:11" ht="18" customHeight="1">
      <c r="A13" s="35"/>
      <c r="B13" s="35"/>
      <c r="C13" s="35"/>
      <c r="D13" s="36"/>
      <c r="E13" s="35"/>
      <c r="F13" s="35"/>
      <c r="G13" s="36"/>
      <c r="H13" s="35"/>
      <c r="I13" s="35"/>
      <c r="J13" s="35"/>
      <c r="K13" s="35"/>
    </row>
    <row r="14" spans="1:11" ht="18" customHeight="1">
      <c r="A14" s="40" t="s">
        <v>7</v>
      </c>
      <c r="B14" s="35"/>
      <c r="C14" s="35"/>
      <c r="D14" s="36"/>
      <c r="E14" s="35"/>
      <c r="F14" s="35"/>
      <c r="G14" s="36"/>
      <c r="H14" s="35"/>
      <c r="I14" s="35"/>
      <c r="J14" s="35"/>
      <c r="K14" s="35"/>
    </row>
    <row r="15" spans="1:11" ht="18" customHeight="1">
      <c r="A15" s="35" t="s">
        <v>8</v>
      </c>
      <c r="B15" s="35"/>
      <c r="C15" s="35"/>
      <c r="D15" s="36" t="s">
        <v>9</v>
      </c>
      <c r="E15" s="41">
        <v>375</v>
      </c>
      <c r="F15" s="41">
        <v>375</v>
      </c>
      <c r="G15" s="36" t="s">
        <v>9</v>
      </c>
      <c r="H15" s="41">
        <v>375</v>
      </c>
      <c r="I15" s="41">
        <v>375</v>
      </c>
      <c r="J15" s="35"/>
      <c r="K15" s="41">
        <v>375</v>
      </c>
    </row>
    <row r="16" spans="1:11" ht="18" customHeight="1">
      <c r="A16" s="35"/>
      <c r="B16" s="35"/>
      <c r="C16" s="35"/>
      <c r="D16" s="36"/>
      <c r="E16" s="35"/>
      <c r="F16" s="35"/>
      <c r="G16" s="36"/>
      <c r="H16" s="35"/>
      <c r="I16" s="35"/>
      <c r="J16" s="35"/>
      <c r="K16" s="35"/>
    </row>
    <row r="17" spans="1:11">
      <c r="A17" s="35" t="s">
        <v>10</v>
      </c>
      <c r="B17" s="35"/>
      <c r="C17" s="35"/>
      <c r="D17" s="36"/>
      <c r="E17" s="41">
        <f>ROUND((E15*E10/12),2)</f>
        <v>9781.25</v>
      </c>
      <c r="F17" s="41">
        <f>ROUND((F15*F10/12),2)</f>
        <v>9781.25</v>
      </c>
      <c r="G17" s="42"/>
      <c r="H17" s="41">
        <f>ROUND((H15*H10/12),2)</f>
        <v>9781.25</v>
      </c>
      <c r="I17" s="41">
        <f>ROUND((I15*I10/12),2)</f>
        <v>9781.25</v>
      </c>
      <c r="J17" s="35"/>
      <c r="K17" s="41">
        <f>ROUND((K15*K10/12),2)</f>
        <v>9781.25</v>
      </c>
    </row>
    <row r="18" spans="1:11" ht="19.5" customHeight="1">
      <c r="A18" s="35" t="s">
        <v>11</v>
      </c>
      <c r="B18" s="35"/>
      <c r="C18" s="35"/>
      <c r="D18" s="36"/>
      <c r="E18" s="41">
        <v>0</v>
      </c>
      <c r="F18" s="41">
        <f>F17*10%*1/3</f>
        <v>326.04166666666669</v>
      </c>
      <c r="G18" s="42"/>
      <c r="H18" s="41">
        <v>0</v>
      </c>
      <c r="I18" s="41">
        <f>+I17*10%*1/2</f>
        <v>489.0625</v>
      </c>
      <c r="J18" s="35"/>
      <c r="K18" s="41">
        <f>K17*10%*1/3</f>
        <v>326.04166666666669</v>
      </c>
    </row>
    <row r="19" spans="1:11" ht="18" customHeight="1">
      <c r="A19" s="35" t="s">
        <v>12</v>
      </c>
      <c r="B19" s="35"/>
      <c r="C19" s="35"/>
      <c r="D19" s="36"/>
      <c r="E19" s="41">
        <f>ROUND((E15*365/12/12),2)</f>
        <v>950.52</v>
      </c>
      <c r="F19" s="41">
        <f>ROUND((F15*365/12/12),2)</f>
        <v>950.52</v>
      </c>
      <c r="G19" s="42"/>
      <c r="H19" s="41">
        <f>ROUND((H15*365/12/12),2)</f>
        <v>950.52</v>
      </c>
      <c r="I19" s="41">
        <f>ROUND((I15*365/12/12),2)</f>
        <v>950.52</v>
      </c>
      <c r="J19" s="35"/>
      <c r="K19" s="41">
        <f>ROUND((K15*365/12/12),2)</f>
        <v>950.52</v>
      </c>
    </row>
    <row r="20" spans="1:11" ht="18" customHeight="1">
      <c r="A20" s="35" t="s">
        <v>13</v>
      </c>
      <c r="B20" s="35"/>
      <c r="C20" s="35"/>
      <c r="D20" s="36"/>
      <c r="E20" s="41">
        <f>+E15*(5/12)</f>
        <v>156.25</v>
      </c>
      <c r="F20" s="41">
        <f>+F15*(5/12)</f>
        <v>156.25</v>
      </c>
      <c r="G20" s="42"/>
      <c r="H20" s="43">
        <f>H15*(5/12)</f>
        <v>156.25</v>
      </c>
      <c r="I20" s="43">
        <f>I15*(5/12)</f>
        <v>156.25</v>
      </c>
      <c r="J20" s="35"/>
      <c r="K20" s="41">
        <f>+K15*(5/12)</f>
        <v>156.25</v>
      </c>
    </row>
    <row r="21" spans="1:11" ht="18" customHeight="1">
      <c r="A21" s="35" t="s">
        <v>14</v>
      </c>
      <c r="B21" s="35"/>
      <c r="C21" s="35"/>
      <c r="D21" s="36"/>
      <c r="E21" s="41">
        <v>100</v>
      </c>
      <c r="F21" s="41">
        <v>100</v>
      </c>
      <c r="G21" s="42"/>
      <c r="H21" s="44">
        <v>100</v>
      </c>
      <c r="I21" s="41">
        <v>100</v>
      </c>
      <c r="J21" s="35"/>
      <c r="K21" s="41">
        <v>100</v>
      </c>
    </row>
    <row r="22" spans="1:11" ht="21" customHeight="1">
      <c r="A22" s="35" t="s">
        <v>15</v>
      </c>
      <c r="B22" s="35"/>
      <c r="C22" s="35"/>
      <c r="D22" s="36"/>
      <c r="E22" s="45">
        <v>0</v>
      </c>
      <c r="F22" s="45">
        <f>0*377/12</f>
        <v>0</v>
      </c>
      <c r="G22" s="46"/>
      <c r="H22" s="47">
        <f>+E54</f>
        <v>6354.8441666666668</v>
      </c>
      <c r="I22" s="47">
        <f>+I54</f>
        <v>6990.3283333333338</v>
      </c>
      <c r="J22" s="35"/>
      <c r="K22" s="45">
        <f>0*377/12</f>
        <v>0</v>
      </c>
    </row>
    <row r="23" spans="1:11" ht="18" customHeight="1">
      <c r="A23" s="35"/>
      <c r="B23" s="35"/>
      <c r="C23" s="35"/>
      <c r="D23" s="36"/>
      <c r="E23" s="43">
        <f>SUM(E17:E22)</f>
        <v>10988.02</v>
      </c>
      <c r="F23" s="43">
        <f>SUM(F17:F22)</f>
        <v>11314.061666666666</v>
      </c>
      <c r="G23" s="48"/>
      <c r="H23" s="43">
        <f>SUM(H17:H22)</f>
        <v>17342.864166666666</v>
      </c>
      <c r="I23" s="43">
        <f>SUM(I17:I22)</f>
        <v>18467.410833333335</v>
      </c>
      <c r="J23" s="35"/>
      <c r="K23" s="43">
        <f>SUM(K17:K22)</f>
        <v>11314.061666666666</v>
      </c>
    </row>
    <row r="24" spans="1:11" ht="18" customHeight="1">
      <c r="A24" s="35"/>
      <c r="B24" s="35"/>
      <c r="C24" s="35"/>
      <c r="D24" s="36"/>
      <c r="E24" s="43"/>
      <c r="F24" s="35"/>
      <c r="G24" s="36"/>
      <c r="H24" s="43"/>
      <c r="I24" s="43"/>
      <c r="J24" s="35"/>
      <c r="K24" s="35"/>
    </row>
    <row r="25" spans="1:11" ht="18" customHeight="1">
      <c r="A25" s="40" t="s">
        <v>16</v>
      </c>
      <c r="B25" s="35"/>
      <c r="C25" s="35"/>
      <c r="D25" s="36"/>
      <c r="E25" s="43"/>
      <c r="F25" s="43"/>
      <c r="G25" s="36"/>
      <c r="H25" s="35"/>
      <c r="I25" s="35"/>
      <c r="J25" s="35"/>
      <c r="K25" s="43"/>
    </row>
    <row r="26" spans="1:11" ht="18" customHeight="1">
      <c r="A26" s="35" t="s">
        <v>49</v>
      </c>
      <c r="B26" s="35"/>
      <c r="C26" s="35"/>
      <c r="D26" s="36" t="s">
        <v>9</v>
      </c>
      <c r="E26" s="49">
        <f>+E15*22.5/12</f>
        <v>703.125</v>
      </c>
      <c r="F26" s="49">
        <f>+F15*22.5/12</f>
        <v>703.125</v>
      </c>
      <c r="G26" s="36" t="s">
        <v>9</v>
      </c>
      <c r="H26" s="41">
        <f>+H15*22.5/12</f>
        <v>703.125</v>
      </c>
      <c r="I26" s="41">
        <f>+I15*22.5/12</f>
        <v>703.125</v>
      </c>
      <c r="J26" s="35"/>
      <c r="K26" s="49">
        <f>+K15*22.5/12</f>
        <v>703.125</v>
      </c>
    </row>
    <row r="27" spans="1:11" ht="18" customHeight="1">
      <c r="A27" s="35" t="s">
        <v>18</v>
      </c>
      <c r="B27" s="35"/>
      <c r="C27" s="35"/>
      <c r="D27" s="36"/>
      <c r="E27" s="49">
        <v>850</v>
      </c>
      <c r="F27" s="49">
        <v>892.5</v>
      </c>
      <c r="G27" s="42"/>
      <c r="H27" s="49">
        <v>1402.5</v>
      </c>
      <c r="I27" s="49">
        <v>1487.5</v>
      </c>
      <c r="J27" s="35"/>
      <c r="K27" s="49">
        <v>892.5</v>
      </c>
    </row>
    <row r="28" spans="1:11" ht="18" customHeight="1">
      <c r="A28" s="35" t="s">
        <v>19</v>
      </c>
      <c r="B28" s="35"/>
      <c r="C28" s="35"/>
      <c r="D28" s="36"/>
      <c r="E28" s="49">
        <v>0</v>
      </c>
      <c r="F28" s="49">
        <v>0</v>
      </c>
      <c r="G28" s="42"/>
      <c r="H28" s="49">
        <v>0</v>
      </c>
      <c r="I28" s="49">
        <v>0</v>
      </c>
      <c r="J28" s="35"/>
      <c r="K28" s="49">
        <v>0</v>
      </c>
    </row>
    <row r="29" spans="1:11" ht="18" customHeight="1">
      <c r="A29" s="35" t="s">
        <v>50</v>
      </c>
      <c r="B29" s="35"/>
      <c r="C29" s="35"/>
      <c r="D29" s="36"/>
      <c r="E29" s="49">
        <f>(E17*0.045)/2</f>
        <v>220.078125</v>
      </c>
      <c r="F29" s="49">
        <f>(F17*0.045)/2</f>
        <v>220.078125</v>
      </c>
      <c r="G29" s="42"/>
      <c r="H29" s="41">
        <f>ROUND((H17*0.045/2),2)</f>
        <v>220.08</v>
      </c>
      <c r="I29" s="41">
        <f>ROUND((I17*0.045/2),2)</f>
        <v>220.08</v>
      </c>
      <c r="J29" s="35"/>
      <c r="K29" s="49">
        <f>(K17*0.045)/2</f>
        <v>220.078125</v>
      </c>
    </row>
    <row r="30" spans="1:11" ht="18" customHeight="1">
      <c r="A30" s="35" t="s">
        <v>21</v>
      </c>
      <c r="B30" s="35"/>
      <c r="C30" s="35"/>
      <c r="D30" s="36"/>
      <c r="E30" s="49">
        <v>10</v>
      </c>
      <c r="F30" s="49">
        <v>10</v>
      </c>
      <c r="G30" s="42"/>
      <c r="H30" s="41">
        <v>30</v>
      </c>
      <c r="I30" s="41">
        <v>30</v>
      </c>
      <c r="J30" s="35"/>
      <c r="K30" s="49">
        <v>10</v>
      </c>
    </row>
    <row r="31" spans="1:11" ht="18" customHeight="1">
      <c r="A31" s="35" t="s">
        <v>22</v>
      </c>
      <c r="B31" s="35"/>
      <c r="C31" s="35"/>
      <c r="D31" s="36"/>
      <c r="E31" s="50">
        <v>100</v>
      </c>
      <c r="F31" s="50">
        <v>100</v>
      </c>
      <c r="G31" s="46"/>
      <c r="H31" s="45">
        <v>100</v>
      </c>
      <c r="I31" s="45">
        <v>100</v>
      </c>
      <c r="J31" s="35"/>
      <c r="K31" s="50">
        <v>100</v>
      </c>
    </row>
    <row r="32" spans="1:11" ht="18" customHeight="1">
      <c r="A32" s="35"/>
      <c r="B32" s="35"/>
      <c r="C32" s="35"/>
      <c r="D32" s="36"/>
      <c r="E32" s="51">
        <f>SUM(E26:E31)</f>
        <v>1883.203125</v>
      </c>
      <c r="F32" s="51">
        <f>SUM(F26:F31)</f>
        <v>1925.703125</v>
      </c>
      <c r="G32" s="48"/>
      <c r="H32" s="43">
        <f>SUM(H26:H31)</f>
        <v>2455.7049999999999</v>
      </c>
      <c r="I32" s="43">
        <f>SUM(I26:I31)</f>
        <v>2540.7049999999999</v>
      </c>
      <c r="J32" s="35"/>
      <c r="K32" s="51">
        <f>SUM(K26:K31)</f>
        <v>1925.703125</v>
      </c>
    </row>
    <row r="33" spans="1:11" ht="18" customHeight="1">
      <c r="A33" s="35"/>
      <c r="B33" s="35"/>
      <c r="C33" s="35"/>
      <c r="D33" s="36"/>
      <c r="E33" s="35"/>
      <c r="F33" s="35"/>
      <c r="G33" s="36"/>
      <c r="H33" s="35"/>
      <c r="I33" s="35"/>
      <c r="J33" s="35"/>
      <c r="K33" s="35"/>
    </row>
    <row r="34" spans="1:11" ht="18" customHeight="1">
      <c r="A34" s="35"/>
      <c r="B34" s="35"/>
      <c r="C34" s="35"/>
      <c r="D34" s="36"/>
      <c r="E34" s="40"/>
      <c r="F34" s="40"/>
      <c r="G34" s="39"/>
      <c r="H34" s="35"/>
      <c r="I34" s="35"/>
      <c r="J34" s="35"/>
      <c r="K34" s="40"/>
    </row>
    <row r="35" spans="1:11" ht="18" customHeight="1">
      <c r="A35" s="40" t="s">
        <v>23</v>
      </c>
      <c r="B35" s="35"/>
      <c r="C35" s="35"/>
      <c r="D35" s="36" t="s">
        <v>9</v>
      </c>
      <c r="E35" s="52">
        <f>+E23+E32</f>
        <v>12871.223125</v>
      </c>
      <c r="F35" s="52">
        <f>+F23+F32</f>
        <v>13239.764791666666</v>
      </c>
      <c r="G35" s="36" t="s">
        <v>9</v>
      </c>
      <c r="H35" s="52">
        <f>+H32+H23</f>
        <v>19798.569166666668</v>
      </c>
      <c r="I35" s="52">
        <f>+I32+I23</f>
        <v>21008.115833333337</v>
      </c>
      <c r="J35" s="35"/>
      <c r="K35" s="52">
        <f>+K23+K32</f>
        <v>13239.764791666666</v>
      </c>
    </row>
    <row r="36" spans="1:11" ht="18" customHeight="1">
      <c r="A36" s="35"/>
      <c r="B36" s="35"/>
      <c r="C36" s="35"/>
      <c r="D36" s="36"/>
      <c r="E36" s="35"/>
      <c r="F36" s="35"/>
      <c r="G36" s="36"/>
      <c r="H36" s="35"/>
      <c r="I36" s="35"/>
      <c r="J36" s="35"/>
      <c r="K36" s="35"/>
    </row>
    <row r="37" spans="1:11" ht="18" customHeight="1">
      <c r="A37" s="40" t="s">
        <v>24</v>
      </c>
      <c r="B37" s="35"/>
      <c r="C37" s="35"/>
      <c r="D37" s="36"/>
      <c r="E37" s="35"/>
      <c r="F37" s="35"/>
      <c r="G37" s="36"/>
      <c r="H37" s="35"/>
      <c r="I37" s="35"/>
      <c r="J37" s="35"/>
      <c r="K37" s="35"/>
    </row>
    <row r="38" spans="1:11" ht="15.75" customHeight="1">
      <c r="A38" s="53" t="s">
        <v>25</v>
      </c>
      <c r="B38" s="53"/>
      <c r="C38" s="34"/>
      <c r="D38" s="36"/>
      <c r="E38" s="54">
        <f>E35*C38</f>
        <v>0</v>
      </c>
      <c r="F38" s="54">
        <f>F35*C38</f>
        <v>0</v>
      </c>
      <c r="G38" s="55"/>
      <c r="H38" s="52">
        <f>H35*0.24</f>
        <v>4751.6566000000003</v>
      </c>
      <c r="I38" s="52">
        <f>I35*0.24</f>
        <v>5041.9478000000008</v>
      </c>
      <c r="J38" s="35"/>
      <c r="K38" s="54">
        <f>K35*C38</f>
        <v>0</v>
      </c>
    </row>
    <row r="39" spans="1:11" ht="18" customHeight="1">
      <c r="A39" s="35"/>
      <c r="B39" s="35"/>
      <c r="C39" s="35"/>
      <c r="D39" s="36"/>
      <c r="E39" s="40"/>
      <c r="F39" s="40"/>
      <c r="G39" s="39"/>
      <c r="H39" s="40"/>
      <c r="I39" s="40"/>
      <c r="J39" s="35"/>
      <c r="K39" s="40"/>
    </row>
    <row r="40" spans="1:11" ht="18" customHeight="1">
      <c r="A40" s="40" t="s">
        <v>26</v>
      </c>
      <c r="B40" s="35"/>
      <c r="C40" s="35"/>
      <c r="D40" s="36"/>
      <c r="E40" s="54">
        <f>+E38*0.12</f>
        <v>0</v>
      </c>
      <c r="F40" s="54">
        <f>+F38*0.12</f>
        <v>0</v>
      </c>
      <c r="G40" s="55"/>
      <c r="H40" s="54">
        <f>+H38*0.12</f>
        <v>570.19879200000003</v>
      </c>
      <c r="I40" s="54">
        <f>+I38*0.12</f>
        <v>605.03373600000009</v>
      </c>
      <c r="J40" s="35"/>
      <c r="K40" s="54">
        <f>+K38*0.12</f>
        <v>0</v>
      </c>
    </row>
    <row r="41" spans="1:11" ht="18" customHeight="1">
      <c r="A41" s="35"/>
      <c r="B41" s="35"/>
      <c r="C41" s="35"/>
      <c r="D41" s="36"/>
      <c r="E41" s="35"/>
      <c r="F41" s="35"/>
      <c r="G41" s="36"/>
      <c r="H41" s="35"/>
      <c r="I41" s="35"/>
      <c r="J41" s="35"/>
      <c r="K41" s="35"/>
    </row>
    <row r="42" spans="1:11" ht="18" customHeight="1" thickBot="1">
      <c r="A42" s="40" t="s">
        <v>27</v>
      </c>
      <c r="B42" s="35"/>
      <c r="C42" s="35"/>
      <c r="D42" s="36" t="s">
        <v>9</v>
      </c>
      <c r="E42" s="56">
        <f>+E35+E38+E40</f>
        <v>12871.223125</v>
      </c>
      <c r="F42" s="56">
        <f>+F35+F38+F40</f>
        <v>13239.764791666666</v>
      </c>
      <c r="G42" s="36" t="s">
        <v>9</v>
      </c>
      <c r="H42" s="57">
        <f>H35+H38+H40</f>
        <v>25120.424558666669</v>
      </c>
      <c r="I42" s="57">
        <f>I35+I38+I40</f>
        <v>26655.09736933334</v>
      </c>
      <c r="J42" s="35"/>
      <c r="K42" s="56">
        <f>+K35+K38+K40</f>
        <v>13239.764791666666</v>
      </c>
    </row>
    <row r="43" spans="1:11" ht="18" customHeight="1" thickTop="1">
      <c r="A43" s="35"/>
      <c r="B43" s="35"/>
      <c r="C43" s="35"/>
      <c r="D43" s="36"/>
      <c r="E43" s="35"/>
      <c r="F43" s="35"/>
      <c r="G43" s="36"/>
      <c r="H43" s="35"/>
      <c r="I43" s="35"/>
      <c r="J43" s="35"/>
      <c r="K43" s="35"/>
    </row>
    <row r="44" spans="1:11" ht="18" hidden="1" customHeight="1">
      <c r="A44" s="35"/>
      <c r="B44" s="35"/>
      <c r="C44" s="35"/>
      <c r="D44" s="36"/>
      <c r="E44" s="35"/>
      <c r="F44" s="35"/>
      <c r="G44" s="36"/>
      <c r="H44" s="35"/>
      <c r="I44" s="35"/>
      <c r="J44" s="35"/>
      <c r="K44" s="35"/>
    </row>
    <row r="45" spans="1:11" hidden="1">
      <c r="A45" s="35"/>
      <c r="B45" s="35"/>
      <c r="C45" s="35"/>
      <c r="D45" s="36"/>
      <c r="E45" s="41"/>
      <c r="F45" s="41"/>
      <c r="G45" s="42"/>
      <c r="H45" s="35"/>
      <c r="I45" s="35"/>
      <c r="J45" s="35"/>
      <c r="K45" s="41"/>
    </row>
    <row r="46" spans="1:11" hidden="1">
      <c r="A46" s="35"/>
      <c r="B46" s="35" t="s">
        <v>28</v>
      </c>
      <c r="C46" s="35"/>
      <c r="D46" s="36"/>
      <c r="E46" s="43"/>
      <c r="F46" s="43"/>
      <c r="G46" s="48"/>
      <c r="H46" s="35" t="s">
        <v>29</v>
      </c>
      <c r="I46" s="35"/>
      <c r="J46" s="35"/>
      <c r="K46" s="43"/>
    </row>
    <row r="47" spans="1:11" hidden="1">
      <c r="A47" s="35"/>
      <c r="B47" s="35"/>
      <c r="C47" s="35"/>
      <c r="D47" s="36"/>
      <c r="E47" s="35"/>
      <c r="F47" s="35"/>
      <c r="G47" s="36"/>
      <c r="H47" s="35"/>
      <c r="I47" s="35"/>
      <c r="J47" s="35"/>
      <c r="K47" s="35"/>
    </row>
    <row r="48" spans="1:11" hidden="1">
      <c r="A48" s="35"/>
      <c r="B48" s="35" t="s">
        <v>30</v>
      </c>
      <c r="C48" s="48">
        <f>E15/8</f>
        <v>46.875</v>
      </c>
      <c r="D48" s="36"/>
      <c r="E48" s="35"/>
      <c r="F48" s="35"/>
      <c r="G48" s="36"/>
      <c r="H48" s="35" t="s">
        <v>30</v>
      </c>
      <c r="I48" s="48">
        <f>H15/8</f>
        <v>46.875</v>
      </c>
      <c r="J48" s="35"/>
      <c r="K48" s="35"/>
    </row>
    <row r="49" spans="1:11" hidden="1">
      <c r="A49" s="36">
        <v>295</v>
      </c>
      <c r="B49" s="35" t="s">
        <v>31</v>
      </c>
      <c r="C49" s="35"/>
      <c r="D49" s="36"/>
      <c r="E49" s="41">
        <f>ROUND((C48*1.25*295*4),2)</f>
        <v>69140.63</v>
      </c>
      <c r="F49" s="35"/>
      <c r="G49" s="36"/>
      <c r="H49" s="35" t="s">
        <v>32</v>
      </c>
      <c r="I49" s="58">
        <f>ROUND((I48*1.375*A49*4),2)</f>
        <v>76054.69</v>
      </c>
      <c r="J49" s="35"/>
      <c r="K49" s="35"/>
    </row>
    <row r="50" spans="1:11" hidden="1">
      <c r="A50" s="36">
        <v>12</v>
      </c>
      <c r="B50" s="35" t="s">
        <v>33</v>
      </c>
      <c r="C50" s="35"/>
      <c r="D50" s="36"/>
      <c r="E50" s="41">
        <f>ROUND((C48*2.6*12*4),2)</f>
        <v>5850</v>
      </c>
      <c r="F50" s="35"/>
      <c r="G50" s="36"/>
      <c r="H50" s="35" t="s">
        <v>34</v>
      </c>
      <c r="I50" s="58">
        <f>ROUND((I48*2.86*A50*4),2)</f>
        <v>6435</v>
      </c>
      <c r="J50" s="35"/>
      <c r="K50" s="35"/>
    </row>
    <row r="51" spans="1:11" hidden="1">
      <c r="A51" s="36">
        <v>4</v>
      </c>
      <c r="B51" s="35" t="s">
        <v>35</v>
      </c>
      <c r="C51" s="35"/>
      <c r="D51" s="36"/>
      <c r="E51" s="41">
        <f>ROUND((C48*1.69*4*4),2)</f>
        <v>1267.5</v>
      </c>
      <c r="F51" s="35"/>
      <c r="G51" s="36"/>
      <c r="H51" s="35" t="s">
        <v>36</v>
      </c>
      <c r="I51" s="47">
        <f>ROUND((I48*1.859*A51*4),2)</f>
        <v>1394.25</v>
      </c>
      <c r="J51" s="35"/>
      <c r="K51" s="35"/>
    </row>
    <row r="52" spans="1:11" hidden="1">
      <c r="A52" s="35"/>
      <c r="B52" s="35"/>
      <c r="C52" s="35"/>
      <c r="D52" s="36"/>
      <c r="E52" s="59">
        <f>SUM(E49:E51)</f>
        <v>76258.13</v>
      </c>
      <c r="F52" s="35"/>
      <c r="G52" s="36"/>
      <c r="H52" s="35"/>
      <c r="I52" s="58">
        <f>SUM(I49:I51)</f>
        <v>83883.94</v>
      </c>
      <c r="J52" s="35"/>
      <c r="K52" s="35"/>
    </row>
    <row r="53" spans="1:11" hidden="1">
      <c r="A53" s="35"/>
      <c r="B53" s="35" t="s">
        <v>37</v>
      </c>
      <c r="C53" s="35"/>
      <c r="D53" s="36"/>
      <c r="E53" s="60">
        <v>12</v>
      </c>
      <c r="F53" s="35"/>
      <c r="G53" s="36"/>
      <c r="H53" s="35" t="s">
        <v>38</v>
      </c>
      <c r="I53" s="60">
        <v>12</v>
      </c>
      <c r="J53" s="35"/>
      <c r="K53" s="35"/>
    </row>
    <row r="54" spans="1:11" ht="16.5" hidden="1" thickBot="1">
      <c r="A54" s="35"/>
      <c r="B54" s="35" t="s">
        <v>39</v>
      </c>
      <c r="C54" s="35"/>
      <c r="D54" s="36"/>
      <c r="E54" s="56">
        <f>E52/E53</f>
        <v>6354.8441666666668</v>
      </c>
      <c r="F54" s="35"/>
      <c r="G54" s="36"/>
      <c r="H54" s="35" t="s">
        <v>40</v>
      </c>
      <c r="I54" s="61">
        <f>I52/I53</f>
        <v>6990.3283333333338</v>
      </c>
      <c r="J54" s="35"/>
      <c r="K54" s="35"/>
    </row>
    <row r="55" spans="1:11" hidden="1">
      <c r="A55" s="35"/>
      <c r="B55" s="35"/>
      <c r="C55" s="35"/>
      <c r="D55" s="36"/>
      <c r="E55" s="43"/>
      <c r="F55" s="35"/>
      <c r="G55" s="36"/>
      <c r="H55" s="35"/>
      <c r="I55" s="35"/>
      <c r="J55" s="35"/>
      <c r="K55" s="35"/>
    </row>
    <row r="56" spans="1:11" hidden="1">
      <c r="A56" s="35"/>
      <c r="B56" s="40" t="s">
        <v>41</v>
      </c>
      <c r="C56" s="35"/>
      <c r="D56" s="36"/>
      <c r="E56" s="43"/>
      <c r="F56" s="35"/>
      <c r="G56" s="36"/>
      <c r="H56" s="40"/>
      <c r="I56" s="35"/>
      <c r="J56" s="35"/>
      <c r="K56" s="35"/>
    </row>
    <row r="57" spans="1:11" ht="15" hidden="1" customHeight="1">
      <c r="A57" s="35"/>
      <c r="B57" s="35" t="s">
        <v>42</v>
      </c>
      <c r="C57" s="35"/>
      <c r="D57" s="36"/>
      <c r="E57" s="35"/>
      <c r="F57" s="35"/>
      <c r="G57" s="36"/>
      <c r="H57" s="35"/>
      <c r="I57" s="35"/>
      <c r="J57" s="35"/>
      <c r="K57" s="35"/>
    </row>
    <row r="58" spans="1:11" hidden="1">
      <c r="A58" s="35"/>
      <c r="B58" s="35" t="s">
        <v>43</v>
      </c>
      <c r="C58" s="35"/>
      <c r="D58" s="36"/>
      <c r="E58" s="35"/>
      <c r="F58" s="35"/>
      <c r="G58" s="36"/>
      <c r="H58" s="35"/>
      <c r="I58" s="35"/>
      <c r="J58" s="35"/>
      <c r="K58" s="35"/>
    </row>
    <row r="59" spans="1:11" hidden="1">
      <c r="A59" s="35"/>
      <c r="B59" s="35"/>
      <c r="C59" s="35"/>
      <c r="D59" s="36"/>
      <c r="E59" s="35"/>
      <c r="F59" s="35"/>
      <c r="G59" s="36"/>
      <c r="H59" s="35"/>
      <c r="I59" s="35"/>
      <c r="J59" s="35"/>
      <c r="K59" s="35"/>
    </row>
    <row r="60" spans="1:11" ht="16.5" hidden="1" thickBot="1">
      <c r="A60" s="35"/>
      <c r="B60" s="35" t="s">
        <v>44</v>
      </c>
      <c r="C60" s="35"/>
      <c r="D60" s="36"/>
      <c r="E60" s="62">
        <f>E23-E19</f>
        <v>10037.5</v>
      </c>
      <c r="F60" s="62">
        <f>F23-F19</f>
        <v>10363.541666666666</v>
      </c>
      <c r="G60" s="63"/>
      <c r="H60" s="62">
        <f>H23-H19</f>
        <v>16392.344166666666</v>
      </c>
      <c r="I60" s="62">
        <f>I23-I19</f>
        <v>17516.890833333335</v>
      </c>
      <c r="J60" s="35"/>
      <c r="K60" s="62">
        <f>K23-K19</f>
        <v>10363.541666666666</v>
      </c>
    </row>
    <row r="61" spans="1:11" hidden="1">
      <c r="A61" s="35"/>
      <c r="B61" s="35"/>
      <c r="C61" s="35"/>
      <c r="D61" s="36"/>
      <c r="E61" s="35"/>
      <c r="F61" s="35"/>
      <c r="G61" s="36"/>
      <c r="H61" s="35"/>
      <c r="I61" s="35"/>
      <c r="J61" s="35"/>
      <c r="K61" s="35"/>
    </row>
    <row r="62" spans="1:11">
      <c r="A62" s="35" t="s">
        <v>81</v>
      </c>
      <c r="B62" s="35"/>
      <c r="C62" s="35"/>
      <c r="D62" s="36"/>
      <c r="E62" s="35"/>
      <c r="F62" s="35"/>
      <c r="G62" s="36"/>
      <c r="H62" s="35"/>
      <c r="I62" s="35"/>
      <c r="J62" s="35"/>
      <c r="K62" s="35"/>
    </row>
    <row r="63" spans="1:11">
      <c r="A63" s="35"/>
      <c r="B63" s="35"/>
      <c r="C63" s="35"/>
      <c r="D63" s="36"/>
      <c r="E63" s="35"/>
      <c r="F63" s="35"/>
      <c r="G63" s="36"/>
      <c r="H63" s="35"/>
      <c r="I63" s="35"/>
      <c r="J63" s="35"/>
      <c r="K63" s="35"/>
    </row>
    <row r="64" spans="1:11">
      <c r="A64" s="35" t="s">
        <v>109</v>
      </c>
      <c r="B64" s="35"/>
      <c r="C64" s="35"/>
      <c r="D64" s="36"/>
      <c r="E64" s="36">
        <v>2</v>
      </c>
      <c r="F64" s="36">
        <v>1</v>
      </c>
      <c r="G64" s="36"/>
      <c r="H64" s="35"/>
      <c r="I64" s="35"/>
      <c r="J64" s="35"/>
      <c r="K64" s="36">
        <v>1</v>
      </c>
    </row>
    <row r="65" spans="1:11">
      <c r="A65" s="35"/>
      <c r="B65" s="35"/>
      <c r="C65" s="35"/>
      <c r="D65" s="36"/>
      <c r="E65" s="35"/>
      <c r="F65" s="35"/>
      <c r="G65" s="36"/>
      <c r="H65" s="35"/>
      <c r="I65" s="35"/>
      <c r="J65" s="35"/>
      <c r="K65" s="35"/>
    </row>
    <row r="66" spans="1:11">
      <c r="A66" s="35" t="s">
        <v>110</v>
      </c>
      <c r="B66" s="35"/>
      <c r="C66" s="35"/>
      <c r="D66" s="36"/>
      <c r="E66" s="64">
        <f>E42*E64</f>
        <v>25742.446250000001</v>
      </c>
      <c r="F66" s="64">
        <f>F64*F42</f>
        <v>13239.764791666666</v>
      </c>
      <c r="G66" s="36"/>
      <c r="H66" s="35"/>
      <c r="I66" s="35"/>
      <c r="J66" s="35"/>
      <c r="K66" s="64">
        <f>K64*K42</f>
        <v>13239.764791666666</v>
      </c>
    </row>
    <row r="67" spans="1:11">
      <c r="A67" s="35"/>
      <c r="B67" s="35"/>
      <c r="C67" s="35"/>
      <c r="D67" s="36"/>
      <c r="E67" s="35"/>
      <c r="F67" s="35"/>
      <c r="G67" s="36"/>
      <c r="H67" s="35"/>
      <c r="I67" s="35"/>
      <c r="J67" s="35"/>
      <c r="K67" s="35"/>
    </row>
    <row r="68" spans="1:11" ht="30.75" customHeight="1" thickBot="1">
      <c r="A68" s="65" t="s">
        <v>115</v>
      </c>
      <c r="B68" s="65"/>
      <c r="C68" s="65"/>
      <c r="D68" s="36"/>
      <c r="E68" s="66">
        <f>E66*12</f>
        <v>308909.35499999998</v>
      </c>
      <c r="F68" s="66">
        <f>F66*12</f>
        <v>158877.17749999999</v>
      </c>
      <c r="G68" s="36"/>
      <c r="H68" s="35"/>
      <c r="I68" s="35"/>
      <c r="J68" s="35"/>
      <c r="K68" s="66">
        <f>K66*12</f>
        <v>158877.17749999999</v>
      </c>
    </row>
    <row r="69" spans="1:11" ht="16.5" thickTop="1"/>
  </sheetData>
  <sheetProtection algorithmName="SHA-512" hashValue="3EOIRNa3BQLyQi0zLBuJxjZik0JhSeCHHtqIDpNmj1R3sU0Np65R2lrt7Vd/kFSY/X5tMuHQWwVHluQ8c7ihGA==" saltValue="U9V2QQ0nwmzRe+uqjlZtDw==" spinCount="100000" sheet="1" objects="1" scenarios="1"/>
  <mergeCells count="7">
    <mergeCell ref="A68:C68"/>
    <mergeCell ref="A2:I2"/>
    <mergeCell ref="A3:I3"/>
    <mergeCell ref="A4:I4"/>
    <mergeCell ref="E8:F8"/>
    <mergeCell ref="H8:I8"/>
    <mergeCell ref="A38:B38"/>
  </mergeCells>
  <pageMargins left="0.70866141732283505" right="0.70866141732283505" top="0.74803149606299202" bottom="0.74803149606299202" header="0.31496062992126" footer="0.31496062992126"/>
  <pageSetup paperSize="124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83697-75D2-4B49-BDA6-D43F970DA2FE}">
  <dimension ref="A1:J69"/>
  <sheetViews>
    <sheetView zoomScale="82" zoomScaleNormal="82" workbookViewId="0">
      <selection activeCell="C38" sqref="C38"/>
    </sheetView>
  </sheetViews>
  <sheetFormatPr defaultColWidth="9.140625" defaultRowHeight="15.75"/>
  <cols>
    <col min="1" max="1" width="4.5703125" style="1" customWidth="1"/>
    <col min="2" max="2" width="53.42578125" style="1" customWidth="1"/>
    <col min="3" max="3" width="7.28515625" style="1" customWidth="1"/>
    <col min="4" max="4" width="3.42578125" style="14" hidden="1" customWidth="1"/>
    <col min="5" max="5" width="18.140625" style="1" hidden="1" customWidth="1"/>
    <col min="6" max="6" width="18" style="1" hidden="1" customWidth="1"/>
    <col min="7" max="7" width="3.42578125" style="14" customWidth="1"/>
    <col min="8" max="8" width="21.85546875" style="1" customWidth="1"/>
    <col min="9" max="10" width="22" style="1" customWidth="1"/>
    <col min="11" max="16384" width="9.140625" style="1"/>
  </cols>
  <sheetData>
    <row r="1" spans="1:10">
      <c r="A1" s="35"/>
      <c r="B1" s="35"/>
      <c r="C1" s="35"/>
      <c r="D1" s="36"/>
      <c r="E1" s="35"/>
      <c r="F1" s="35"/>
      <c r="G1" s="36"/>
      <c r="H1" s="35"/>
      <c r="I1" s="35"/>
      <c r="J1" s="35"/>
    </row>
    <row r="2" spans="1:10">
      <c r="A2" s="37" t="s">
        <v>76</v>
      </c>
      <c r="B2" s="37"/>
      <c r="C2" s="37"/>
      <c r="D2" s="37"/>
      <c r="E2" s="37"/>
      <c r="F2" s="37"/>
      <c r="G2" s="37"/>
      <c r="H2" s="37"/>
      <c r="I2" s="37"/>
      <c r="J2" s="35"/>
    </row>
    <row r="3" spans="1:10">
      <c r="A3" s="38" t="s">
        <v>77</v>
      </c>
      <c r="B3" s="38"/>
      <c r="C3" s="38"/>
      <c r="D3" s="38"/>
      <c r="E3" s="38"/>
      <c r="F3" s="38"/>
      <c r="G3" s="38"/>
      <c r="H3" s="38"/>
      <c r="I3" s="38"/>
      <c r="J3" s="35"/>
    </row>
    <row r="4" spans="1:10">
      <c r="A4" s="38" t="s">
        <v>78</v>
      </c>
      <c r="B4" s="38"/>
      <c r="C4" s="38"/>
      <c r="D4" s="38"/>
      <c r="E4" s="38"/>
      <c r="F4" s="38"/>
      <c r="G4" s="38"/>
      <c r="H4" s="38"/>
      <c r="I4" s="38"/>
      <c r="J4" s="35"/>
    </row>
    <row r="5" spans="1:10">
      <c r="A5" s="35"/>
      <c r="B5" s="35"/>
      <c r="C5" s="35"/>
      <c r="D5" s="36"/>
      <c r="E5" s="35"/>
      <c r="F5" s="35"/>
      <c r="G5" s="36"/>
      <c r="H5" s="35" t="s">
        <v>48</v>
      </c>
      <c r="I5" s="35"/>
      <c r="J5" s="35"/>
    </row>
    <row r="6" spans="1:10">
      <c r="A6" s="35"/>
      <c r="B6" s="35"/>
      <c r="C6" s="35"/>
      <c r="D6" s="36"/>
      <c r="E6" s="35"/>
      <c r="F6" s="35"/>
      <c r="G6" s="36"/>
      <c r="H6" s="35"/>
      <c r="I6" s="35"/>
      <c r="J6" s="35"/>
    </row>
    <row r="7" spans="1:10">
      <c r="A7" s="35"/>
      <c r="B7" s="35"/>
      <c r="C7" s="35"/>
      <c r="D7" s="36"/>
      <c r="E7" s="35"/>
      <c r="F7" s="35"/>
      <c r="G7" s="36"/>
      <c r="H7" s="35" t="s">
        <v>48</v>
      </c>
      <c r="I7" s="35"/>
      <c r="J7" s="35"/>
    </row>
    <row r="8" spans="1:10" ht="18" customHeight="1">
      <c r="A8" s="35"/>
      <c r="B8" s="35"/>
      <c r="C8" s="35"/>
      <c r="D8" s="36"/>
      <c r="E8" s="37" t="s">
        <v>79</v>
      </c>
      <c r="F8" s="37"/>
      <c r="G8" s="36"/>
      <c r="H8" s="37" t="s">
        <v>80</v>
      </c>
      <c r="I8" s="37"/>
      <c r="J8" s="35"/>
    </row>
    <row r="9" spans="1:10" ht="18" customHeight="1">
      <c r="A9" s="35" t="s">
        <v>0</v>
      </c>
      <c r="B9" s="35"/>
      <c r="C9" s="35"/>
      <c r="D9" s="36"/>
      <c r="E9" s="36" t="s">
        <v>1</v>
      </c>
      <c r="F9" s="36" t="s">
        <v>1</v>
      </c>
      <c r="G9" s="36"/>
      <c r="H9" s="36" t="s">
        <v>1</v>
      </c>
      <c r="I9" s="36" t="s">
        <v>1</v>
      </c>
      <c r="J9" s="36" t="s">
        <v>1</v>
      </c>
    </row>
    <row r="10" spans="1:10" ht="18" customHeight="1">
      <c r="A10" s="35" t="s">
        <v>2</v>
      </c>
      <c r="B10" s="35"/>
      <c r="C10" s="35"/>
      <c r="D10" s="36"/>
      <c r="E10" s="36">
        <v>313</v>
      </c>
      <c r="F10" s="36">
        <v>313</v>
      </c>
      <c r="G10" s="36"/>
      <c r="H10" s="36">
        <v>313</v>
      </c>
      <c r="I10" s="36">
        <v>313</v>
      </c>
      <c r="J10" s="36">
        <v>313</v>
      </c>
    </row>
    <row r="11" spans="1:10" ht="18" customHeight="1">
      <c r="A11" s="35"/>
      <c r="B11" s="35"/>
      <c r="C11" s="35"/>
      <c r="D11" s="36"/>
      <c r="E11" s="36" t="s">
        <v>3</v>
      </c>
      <c r="F11" s="36" t="s">
        <v>3</v>
      </c>
      <c r="G11" s="36"/>
      <c r="H11" s="36" t="s">
        <v>4</v>
      </c>
      <c r="I11" s="36" t="s">
        <v>4</v>
      </c>
      <c r="J11" s="36" t="s">
        <v>4</v>
      </c>
    </row>
    <row r="12" spans="1:10" ht="18" customHeight="1">
      <c r="A12" s="35"/>
      <c r="B12" s="35"/>
      <c r="C12" s="35"/>
      <c r="D12" s="36"/>
      <c r="E12" s="36" t="s">
        <v>5</v>
      </c>
      <c r="F12" s="36" t="s">
        <v>6</v>
      </c>
      <c r="G12" s="36"/>
      <c r="H12" s="36" t="s">
        <v>5</v>
      </c>
      <c r="I12" s="36" t="s">
        <v>6</v>
      </c>
      <c r="J12" s="36" t="s">
        <v>112</v>
      </c>
    </row>
    <row r="13" spans="1:10" ht="18" customHeight="1">
      <c r="A13" s="35"/>
      <c r="B13" s="35"/>
      <c r="C13" s="35"/>
      <c r="D13" s="36"/>
      <c r="E13" s="35"/>
      <c r="F13" s="35"/>
      <c r="G13" s="36"/>
      <c r="H13" s="35"/>
      <c r="I13" s="35"/>
      <c r="J13" s="35"/>
    </row>
    <row r="14" spans="1:10" ht="18" customHeight="1">
      <c r="A14" s="40" t="s">
        <v>7</v>
      </c>
      <c r="B14" s="35"/>
      <c r="C14" s="35"/>
      <c r="D14" s="36"/>
      <c r="E14" s="35"/>
      <c r="F14" s="35"/>
      <c r="G14" s="36"/>
      <c r="H14" s="35"/>
      <c r="I14" s="35"/>
      <c r="J14" s="35"/>
    </row>
    <row r="15" spans="1:10" ht="18" customHeight="1">
      <c r="A15" s="35" t="s">
        <v>8</v>
      </c>
      <c r="B15" s="35"/>
      <c r="C15" s="35"/>
      <c r="D15" s="36" t="s">
        <v>9</v>
      </c>
      <c r="E15" s="41">
        <v>375</v>
      </c>
      <c r="F15" s="41">
        <v>375</v>
      </c>
      <c r="G15" s="36" t="s">
        <v>9</v>
      </c>
      <c r="H15" s="41">
        <v>375</v>
      </c>
      <c r="I15" s="41">
        <v>375</v>
      </c>
      <c r="J15" s="41">
        <v>375</v>
      </c>
    </row>
    <row r="16" spans="1:10" ht="18" customHeight="1">
      <c r="A16" s="35"/>
      <c r="B16" s="35"/>
      <c r="C16" s="35"/>
      <c r="D16" s="36"/>
      <c r="E16" s="35"/>
      <c r="F16" s="35"/>
      <c r="G16" s="36"/>
      <c r="H16" s="35"/>
      <c r="I16" s="35"/>
      <c r="J16" s="35"/>
    </row>
    <row r="17" spans="1:10">
      <c r="A17" s="35" t="s">
        <v>10</v>
      </c>
      <c r="B17" s="35"/>
      <c r="C17" s="35"/>
      <c r="D17" s="36"/>
      <c r="E17" s="41">
        <f>ROUND((E15*E10/12),2)</f>
        <v>9781.25</v>
      </c>
      <c r="F17" s="41">
        <f>ROUND((F15*F10/12),2)</f>
        <v>9781.25</v>
      </c>
      <c r="G17" s="42"/>
      <c r="H17" s="41">
        <f>ROUND((H15*H10/12),2)</f>
        <v>9781.25</v>
      </c>
      <c r="I17" s="41">
        <f>ROUND((I15*I10/12),2)</f>
        <v>9781.25</v>
      </c>
      <c r="J17" s="41">
        <f>ROUND((J15*J10/12),2)</f>
        <v>9781.25</v>
      </c>
    </row>
    <row r="18" spans="1:10" ht="19.5" customHeight="1">
      <c r="A18" s="35" t="s">
        <v>11</v>
      </c>
      <c r="B18" s="35"/>
      <c r="C18" s="35"/>
      <c r="D18" s="36"/>
      <c r="E18" s="41">
        <v>0</v>
      </c>
      <c r="F18" s="41">
        <f>F17*10%*1/3</f>
        <v>326.04166666666669</v>
      </c>
      <c r="G18" s="42"/>
      <c r="H18" s="41">
        <v>0</v>
      </c>
      <c r="I18" s="41">
        <f>+I17*10%*1/2</f>
        <v>489.0625</v>
      </c>
      <c r="J18" s="41">
        <f>+J17*10%*1/2</f>
        <v>489.0625</v>
      </c>
    </row>
    <row r="19" spans="1:10" ht="18" customHeight="1">
      <c r="A19" s="35" t="s">
        <v>12</v>
      </c>
      <c r="B19" s="35"/>
      <c r="C19" s="35"/>
      <c r="D19" s="36"/>
      <c r="E19" s="41">
        <f>ROUND((E15*365/12/12),2)</f>
        <v>950.52</v>
      </c>
      <c r="F19" s="41">
        <f>ROUND((F15*365/12/12),2)</f>
        <v>950.52</v>
      </c>
      <c r="G19" s="42"/>
      <c r="H19" s="41">
        <f>ROUND((H15*365/12/12),2)</f>
        <v>950.52</v>
      </c>
      <c r="I19" s="41">
        <f>ROUND((I15*365/12/12),2)</f>
        <v>950.52</v>
      </c>
      <c r="J19" s="41">
        <f>ROUND((J15*365/12/12),2)</f>
        <v>950.52</v>
      </c>
    </row>
    <row r="20" spans="1:10" ht="18" customHeight="1">
      <c r="A20" s="35" t="s">
        <v>13</v>
      </c>
      <c r="B20" s="35"/>
      <c r="C20" s="35"/>
      <c r="D20" s="36"/>
      <c r="E20" s="41">
        <f>+E15*(5/12)</f>
        <v>156.25</v>
      </c>
      <c r="F20" s="41">
        <f>+F15*(5/12)</f>
        <v>156.25</v>
      </c>
      <c r="G20" s="42"/>
      <c r="H20" s="43">
        <f>H15*(5/12)</f>
        <v>156.25</v>
      </c>
      <c r="I20" s="43">
        <f>I15*(5/12)</f>
        <v>156.25</v>
      </c>
      <c r="J20" s="43">
        <f>J15*(5/12)</f>
        <v>156.25</v>
      </c>
    </row>
    <row r="21" spans="1:10" ht="18" customHeight="1">
      <c r="A21" s="35" t="s">
        <v>14</v>
      </c>
      <c r="B21" s="35"/>
      <c r="C21" s="35"/>
      <c r="D21" s="36"/>
      <c r="E21" s="41">
        <v>100</v>
      </c>
      <c r="F21" s="41">
        <v>100</v>
      </c>
      <c r="G21" s="42"/>
      <c r="H21" s="44">
        <v>100</v>
      </c>
      <c r="I21" s="41">
        <v>100</v>
      </c>
      <c r="J21" s="41">
        <v>100</v>
      </c>
    </row>
    <row r="22" spans="1:10" ht="21" customHeight="1">
      <c r="A22" s="35" t="s">
        <v>15</v>
      </c>
      <c r="B22" s="35"/>
      <c r="C22" s="35"/>
      <c r="D22" s="36"/>
      <c r="E22" s="45">
        <v>0</v>
      </c>
      <c r="F22" s="45">
        <f>0*377/12</f>
        <v>0</v>
      </c>
      <c r="G22" s="46"/>
      <c r="H22" s="47">
        <f>+E54</f>
        <v>6354.8441666666668</v>
      </c>
      <c r="I22" s="47">
        <f>+I54</f>
        <v>6990.3283333333338</v>
      </c>
      <c r="J22" s="47">
        <v>6990.3283333333338</v>
      </c>
    </row>
    <row r="23" spans="1:10" ht="18" customHeight="1">
      <c r="A23" s="35"/>
      <c r="B23" s="35"/>
      <c r="C23" s="35"/>
      <c r="D23" s="36"/>
      <c r="E23" s="43">
        <f>SUM(E17:E22)</f>
        <v>10988.02</v>
      </c>
      <c r="F23" s="43">
        <f>SUM(F17:F22)</f>
        <v>11314.061666666666</v>
      </c>
      <c r="G23" s="48"/>
      <c r="H23" s="43">
        <f>SUM(H17:H22)</f>
        <v>17342.864166666666</v>
      </c>
      <c r="I23" s="43">
        <f>SUM(I17:I22)</f>
        <v>18467.410833333335</v>
      </c>
      <c r="J23" s="43">
        <f>SUM(J17:J22)</f>
        <v>18467.410833333335</v>
      </c>
    </row>
    <row r="24" spans="1:10" ht="18" customHeight="1">
      <c r="A24" s="35"/>
      <c r="B24" s="35"/>
      <c r="C24" s="35"/>
      <c r="D24" s="36"/>
      <c r="E24" s="43"/>
      <c r="F24" s="35"/>
      <c r="G24" s="36"/>
      <c r="H24" s="43"/>
      <c r="I24" s="43"/>
      <c r="J24" s="43"/>
    </row>
    <row r="25" spans="1:10" ht="18" customHeight="1">
      <c r="A25" s="40" t="s">
        <v>16</v>
      </c>
      <c r="B25" s="35"/>
      <c r="C25" s="35"/>
      <c r="D25" s="36"/>
      <c r="E25" s="43"/>
      <c r="F25" s="43"/>
      <c r="G25" s="36"/>
      <c r="H25" s="35"/>
      <c r="I25" s="35"/>
      <c r="J25" s="35"/>
    </row>
    <row r="26" spans="1:10" ht="18" customHeight="1">
      <c r="A26" s="35" t="s">
        <v>49</v>
      </c>
      <c r="B26" s="35"/>
      <c r="C26" s="35"/>
      <c r="D26" s="36" t="s">
        <v>9</v>
      </c>
      <c r="E26" s="49">
        <f>+E15*22.5/12</f>
        <v>703.125</v>
      </c>
      <c r="F26" s="49">
        <f>+F15*22.5/12</f>
        <v>703.125</v>
      </c>
      <c r="G26" s="36" t="s">
        <v>9</v>
      </c>
      <c r="H26" s="41">
        <f>+H15*22.5/12</f>
        <v>703.125</v>
      </c>
      <c r="I26" s="41">
        <f>+I15*22.5/12</f>
        <v>703.125</v>
      </c>
      <c r="J26" s="41">
        <f>+J15*22.5/12</f>
        <v>703.125</v>
      </c>
    </row>
    <row r="27" spans="1:10" ht="18" customHeight="1">
      <c r="A27" s="35" t="s">
        <v>18</v>
      </c>
      <c r="B27" s="35"/>
      <c r="C27" s="35"/>
      <c r="D27" s="36"/>
      <c r="E27" s="49">
        <v>850</v>
      </c>
      <c r="F27" s="49">
        <v>892.5</v>
      </c>
      <c r="G27" s="42"/>
      <c r="H27" s="49">
        <v>1402.5</v>
      </c>
      <c r="I27" s="49">
        <v>1487.5</v>
      </c>
      <c r="J27" s="49">
        <v>1487.5</v>
      </c>
    </row>
    <row r="28" spans="1:10" ht="18" customHeight="1">
      <c r="A28" s="35" t="s">
        <v>19</v>
      </c>
      <c r="B28" s="35"/>
      <c r="C28" s="35"/>
      <c r="D28" s="36"/>
      <c r="E28" s="49">
        <v>0</v>
      </c>
      <c r="F28" s="49">
        <v>0</v>
      </c>
      <c r="G28" s="42"/>
      <c r="H28" s="49">
        <v>0</v>
      </c>
      <c r="I28" s="49">
        <v>0</v>
      </c>
      <c r="J28" s="49">
        <v>0</v>
      </c>
    </row>
    <row r="29" spans="1:10" ht="18" customHeight="1">
      <c r="A29" s="35" t="s">
        <v>50</v>
      </c>
      <c r="B29" s="35"/>
      <c r="C29" s="35"/>
      <c r="D29" s="36"/>
      <c r="E29" s="49">
        <f>(E17*0.045)/2</f>
        <v>220.078125</v>
      </c>
      <c r="F29" s="49">
        <f>(F17*0.045)/2</f>
        <v>220.078125</v>
      </c>
      <c r="G29" s="42"/>
      <c r="H29" s="41">
        <f>ROUND((H17*0.045/2),2)</f>
        <v>220.08</v>
      </c>
      <c r="I29" s="41">
        <f>ROUND((I17*0.045/2),2)</f>
        <v>220.08</v>
      </c>
      <c r="J29" s="41">
        <f>ROUND((J17*0.045/2),2)</f>
        <v>220.08</v>
      </c>
    </row>
    <row r="30" spans="1:10" ht="18" customHeight="1">
      <c r="A30" s="35" t="s">
        <v>21</v>
      </c>
      <c r="B30" s="35"/>
      <c r="C30" s="35"/>
      <c r="D30" s="36"/>
      <c r="E30" s="49">
        <v>10</v>
      </c>
      <c r="F30" s="49">
        <v>10</v>
      </c>
      <c r="G30" s="42"/>
      <c r="H30" s="41">
        <v>30</v>
      </c>
      <c r="I30" s="41">
        <v>30</v>
      </c>
      <c r="J30" s="41">
        <v>30</v>
      </c>
    </row>
    <row r="31" spans="1:10" ht="18" customHeight="1">
      <c r="A31" s="35" t="s">
        <v>22</v>
      </c>
      <c r="B31" s="35"/>
      <c r="C31" s="35"/>
      <c r="D31" s="36"/>
      <c r="E31" s="50">
        <v>100</v>
      </c>
      <c r="F31" s="50">
        <v>100</v>
      </c>
      <c r="G31" s="46"/>
      <c r="H31" s="45">
        <v>100</v>
      </c>
      <c r="I31" s="45">
        <v>100</v>
      </c>
      <c r="J31" s="45">
        <v>100</v>
      </c>
    </row>
    <row r="32" spans="1:10" ht="18" customHeight="1">
      <c r="A32" s="35"/>
      <c r="B32" s="35"/>
      <c r="C32" s="35"/>
      <c r="D32" s="36"/>
      <c r="E32" s="51">
        <f>SUM(E26:E31)</f>
        <v>1883.203125</v>
      </c>
      <c r="F32" s="51">
        <f>SUM(F26:F31)</f>
        <v>1925.703125</v>
      </c>
      <c r="G32" s="48"/>
      <c r="H32" s="43">
        <f>SUM(H26:H31)</f>
        <v>2455.7049999999999</v>
      </c>
      <c r="I32" s="43">
        <f>SUM(I26:I31)</f>
        <v>2540.7049999999999</v>
      </c>
      <c r="J32" s="43">
        <f>SUM(J26:J31)</f>
        <v>2540.7049999999999</v>
      </c>
    </row>
    <row r="33" spans="1:10" ht="18" customHeight="1">
      <c r="A33" s="35"/>
      <c r="B33" s="35"/>
      <c r="C33" s="35"/>
      <c r="D33" s="36"/>
      <c r="E33" s="35"/>
      <c r="F33" s="35"/>
      <c r="G33" s="36"/>
      <c r="H33" s="35"/>
      <c r="I33" s="35"/>
      <c r="J33" s="35"/>
    </row>
    <row r="34" spans="1:10" ht="18" customHeight="1">
      <c r="A34" s="35"/>
      <c r="B34" s="35"/>
      <c r="C34" s="35"/>
      <c r="D34" s="36"/>
      <c r="E34" s="40"/>
      <c r="F34" s="40"/>
      <c r="G34" s="39"/>
      <c r="H34" s="35"/>
      <c r="I34" s="35"/>
      <c r="J34" s="35"/>
    </row>
    <row r="35" spans="1:10" ht="18" customHeight="1">
      <c r="A35" s="40" t="s">
        <v>23</v>
      </c>
      <c r="B35" s="35"/>
      <c r="C35" s="35"/>
      <c r="D35" s="36" t="s">
        <v>9</v>
      </c>
      <c r="E35" s="52">
        <f>+E23+E32</f>
        <v>12871.223125</v>
      </c>
      <c r="F35" s="52">
        <f>+F23+F32</f>
        <v>13239.764791666666</v>
      </c>
      <c r="G35" s="36" t="s">
        <v>9</v>
      </c>
      <c r="H35" s="52">
        <f>+H32+H23</f>
        <v>19798.569166666668</v>
      </c>
      <c r="I35" s="52">
        <f>+I32+I23</f>
        <v>21008.115833333337</v>
      </c>
      <c r="J35" s="52">
        <f>+J32+J23</f>
        <v>21008.115833333337</v>
      </c>
    </row>
    <row r="36" spans="1:10" ht="18" customHeight="1">
      <c r="A36" s="35"/>
      <c r="B36" s="35"/>
      <c r="C36" s="35"/>
      <c r="D36" s="36"/>
      <c r="E36" s="35"/>
      <c r="F36" s="35"/>
      <c r="G36" s="36"/>
      <c r="H36" s="35"/>
      <c r="I36" s="35"/>
      <c r="J36" s="35"/>
    </row>
    <row r="37" spans="1:10" ht="18" customHeight="1">
      <c r="A37" s="40" t="s">
        <v>24</v>
      </c>
      <c r="B37" s="35"/>
      <c r="C37" s="35"/>
      <c r="D37" s="36"/>
      <c r="E37" s="35"/>
      <c r="F37" s="35"/>
      <c r="G37" s="36"/>
      <c r="H37" s="35"/>
      <c r="I37" s="35"/>
      <c r="J37" s="35"/>
    </row>
    <row r="38" spans="1:10" ht="15.75" customHeight="1">
      <c r="A38" s="67" t="s">
        <v>25</v>
      </c>
      <c r="B38" s="67"/>
      <c r="C38" s="34"/>
      <c r="D38" s="36"/>
      <c r="E38" s="54">
        <f>+E35*24%</f>
        <v>3089.0935500000001</v>
      </c>
      <c r="F38" s="54">
        <f>+F35*24%</f>
        <v>3177.5435499999999</v>
      </c>
      <c r="G38" s="55"/>
      <c r="H38" s="52">
        <f>H35*C38</f>
        <v>0</v>
      </c>
      <c r="I38" s="52">
        <f>I35*C38</f>
        <v>0</v>
      </c>
      <c r="J38" s="52">
        <f>J35*C38</f>
        <v>0</v>
      </c>
    </row>
    <row r="39" spans="1:10" ht="18" customHeight="1">
      <c r="A39" s="35"/>
      <c r="B39" s="35"/>
      <c r="C39" s="35"/>
      <c r="D39" s="36"/>
      <c r="E39" s="40"/>
      <c r="F39" s="40"/>
      <c r="G39" s="39"/>
      <c r="H39" s="40"/>
      <c r="I39" s="40"/>
      <c r="J39" s="40"/>
    </row>
    <row r="40" spans="1:10" ht="18" customHeight="1">
      <c r="A40" s="40" t="s">
        <v>26</v>
      </c>
      <c r="B40" s="35"/>
      <c r="C40" s="35"/>
      <c r="D40" s="36"/>
      <c r="E40" s="54">
        <f>+E38*0.12</f>
        <v>370.69122599999997</v>
      </c>
      <c r="F40" s="54">
        <f>+F38*0.12</f>
        <v>381.30522599999995</v>
      </c>
      <c r="G40" s="55"/>
      <c r="H40" s="54">
        <f>+H38*0.12</f>
        <v>0</v>
      </c>
      <c r="I40" s="54">
        <f>+I38*0.12</f>
        <v>0</v>
      </c>
      <c r="J40" s="54">
        <f>+J38*0.12</f>
        <v>0</v>
      </c>
    </row>
    <row r="41" spans="1:10" ht="18" customHeight="1">
      <c r="A41" s="35"/>
      <c r="B41" s="35"/>
      <c r="C41" s="35"/>
      <c r="D41" s="36"/>
      <c r="E41" s="35"/>
      <c r="F41" s="35"/>
      <c r="G41" s="36"/>
      <c r="H41" s="35"/>
      <c r="I41" s="35"/>
      <c r="J41" s="35"/>
    </row>
    <row r="42" spans="1:10" ht="18" customHeight="1" thickBot="1">
      <c r="A42" s="40" t="s">
        <v>27</v>
      </c>
      <c r="B42" s="35"/>
      <c r="C42" s="35"/>
      <c r="D42" s="36" t="s">
        <v>9</v>
      </c>
      <c r="E42" s="56">
        <f>+E35+E38+E40</f>
        <v>16331.007901000001</v>
      </c>
      <c r="F42" s="56">
        <f>+F35+F38+F40</f>
        <v>16798.613567666667</v>
      </c>
      <c r="G42" s="36" t="s">
        <v>9</v>
      </c>
      <c r="H42" s="57">
        <f>H35+H38+H40</f>
        <v>19798.569166666668</v>
      </c>
      <c r="I42" s="57">
        <f>I35+I38+I40</f>
        <v>21008.115833333337</v>
      </c>
      <c r="J42" s="57">
        <f>J35+J38+J40</f>
        <v>21008.115833333337</v>
      </c>
    </row>
    <row r="43" spans="1:10" ht="18" customHeight="1" thickTop="1">
      <c r="A43" s="35"/>
      <c r="B43" s="35"/>
      <c r="C43" s="35"/>
      <c r="D43" s="36"/>
      <c r="E43" s="35"/>
      <c r="F43" s="35"/>
      <c r="G43" s="36"/>
      <c r="H43" s="35"/>
      <c r="I43" s="35"/>
      <c r="J43" s="35"/>
    </row>
    <row r="44" spans="1:10" ht="18" hidden="1" customHeight="1">
      <c r="A44" s="35"/>
      <c r="B44" s="35"/>
      <c r="C44" s="35"/>
      <c r="D44" s="36"/>
      <c r="E44" s="35"/>
      <c r="F44" s="35"/>
      <c r="G44" s="36"/>
      <c r="H44" s="35"/>
      <c r="I44" s="35"/>
      <c r="J44" s="35"/>
    </row>
    <row r="45" spans="1:10" hidden="1">
      <c r="A45" s="35"/>
      <c r="B45" s="35"/>
      <c r="C45" s="35"/>
      <c r="D45" s="36"/>
      <c r="E45" s="41"/>
      <c r="F45" s="41"/>
      <c r="G45" s="42"/>
      <c r="H45" s="35"/>
      <c r="I45" s="35"/>
      <c r="J45" s="35"/>
    </row>
    <row r="46" spans="1:10" hidden="1">
      <c r="A46" s="35"/>
      <c r="B46" s="35" t="s">
        <v>28</v>
      </c>
      <c r="C46" s="35"/>
      <c r="D46" s="36"/>
      <c r="E46" s="43"/>
      <c r="F46" s="43"/>
      <c r="G46" s="48"/>
      <c r="H46" s="35" t="s">
        <v>29</v>
      </c>
      <c r="I46" s="35"/>
      <c r="J46" s="35"/>
    </row>
    <row r="47" spans="1:10" hidden="1">
      <c r="A47" s="35"/>
      <c r="B47" s="35"/>
      <c r="C47" s="35"/>
      <c r="D47" s="36"/>
      <c r="E47" s="35"/>
      <c r="F47" s="35"/>
      <c r="G47" s="36"/>
      <c r="H47" s="35"/>
      <c r="I47" s="35"/>
      <c r="J47" s="35"/>
    </row>
    <row r="48" spans="1:10" hidden="1">
      <c r="A48" s="35"/>
      <c r="B48" s="35" t="s">
        <v>30</v>
      </c>
      <c r="C48" s="48">
        <f>E15/8</f>
        <v>46.875</v>
      </c>
      <c r="D48" s="36"/>
      <c r="E48" s="35"/>
      <c r="F48" s="35"/>
      <c r="G48" s="36"/>
      <c r="H48" s="35" t="s">
        <v>30</v>
      </c>
      <c r="I48" s="48">
        <f>H15/8</f>
        <v>46.875</v>
      </c>
      <c r="J48" s="48">
        <f>I15/8</f>
        <v>46.875</v>
      </c>
    </row>
    <row r="49" spans="1:10" hidden="1">
      <c r="A49" s="36">
        <v>295</v>
      </c>
      <c r="B49" s="35" t="s">
        <v>31</v>
      </c>
      <c r="C49" s="35"/>
      <c r="D49" s="36"/>
      <c r="E49" s="41">
        <f>ROUND((C48*1.25*295*4),2)</f>
        <v>69140.63</v>
      </c>
      <c r="F49" s="35"/>
      <c r="G49" s="36"/>
      <c r="H49" s="35" t="s">
        <v>32</v>
      </c>
      <c r="I49" s="58">
        <f>ROUND((I48*1.375*A49*4),2)</f>
        <v>76054.69</v>
      </c>
      <c r="J49" s="58" t="e">
        <f>ROUND((J48*1.375*B49*4),2)</f>
        <v>#VALUE!</v>
      </c>
    </row>
    <row r="50" spans="1:10" hidden="1">
      <c r="A50" s="36">
        <v>12</v>
      </c>
      <c r="B50" s="35" t="s">
        <v>33</v>
      </c>
      <c r="C50" s="35"/>
      <c r="D50" s="36"/>
      <c r="E50" s="41">
        <f>ROUND((C48*2.6*12*4),2)</f>
        <v>5850</v>
      </c>
      <c r="F50" s="35"/>
      <c r="G50" s="36"/>
      <c r="H50" s="35" t="s">
        <v>34</v>
      </c>
      <c r="I50" s="58">
        <f>ROUND((I48*2.86*A50*4),2)</f>
        <v>6435</v>
      </c>
      <c r="J50" s="58" t="e">
        <f>ROUND((J48*2.86*B50*4),2)</f>
        <v>#VALUE!</v>
      </c>
    </row>
    <row r="51" spans="1:10" hidden="1">
      <c r="A51" s="36">
        <v>4</v>
      </c>
      <c r="B51" s="35" t="s">
        <v>35</v>
      </c>
      <c r="C51" s="35"/>
      <c r="D51" s="36"/>
      <c r="E51" s="41">
        <f>ROUND((C48*1.69*4*4),2)</f>
        <v>1267.5</v>
      </c>
      <c r="F51" s="35"/>
      <c r="G51" s="36"/>
      <c r="H51" s="35" t="s">
        <v>36</v>
      </c>
      <c r="I51" s="47">
        <f>ROUND((I48*1.859*A51*4),2)</f>
        <v>1394.25</v>
      </c>
      <c r="J51" s="47" t="e">
        <f>ROUND((J48*1.859*B51*4),2)</f>
        <v>#VALUE!</v>
      </c>
    </row>
    <row r="52" spans="1:10" hidden="1">
      <c r="A52" s="35"/>
      <c r="B52" s="35"/>
      <c r="C52" s="35"/>
      <c r="D52" s="36"/>
      <c r="E52" s="59">
        <f>SUM(E49:E51)</f>
        <v>76258.13</v>
      </c>
      <c r="F52" s="35"/>
      <c r="G52" s="36"/>
      <c r="H52" s="35"/>
      <c r="I52" s="58">
        <f>SUM(I49:I51)</f>
        <v>83883.94</v>
      </c>
      <c r="J52" s="58" t="e">
        <f>SUM(J49:J51)</f>
        <v>#VALUE!</v>
      </c>
    </row>
    <row r="53" spans="1:10" hidden="1">
      <c r="A53" s="35"/>
      <c r="B53" s="35" t="s">
        <v>37</v>
      </c>
      <c r="C53" s="35"/>
      <c r="D53" s="36"/>
      <c r="E53" s="60">
        <v>12</v>
      </c>
      <c r="F53" s="35"/>
      <c r="G53" s="36"/>
      <c r="H53" s="35" t="s">
        <v>38</v>
      </c>
      <c r="I53" s="60">
        <v>12</v>
      </c>
      <c r="J53" s="60">
        <v>12</v>
      </c>
    </row>
    <row r="54" spans="1:10" ht="16.5" hidden="1" thickBot="1">
      <c r="A54" s="35"/>
      <c r="B54" s="35" t="s">
        <v>39</v>
      </c>
      <c r="C54" s="35"/>
      <c r="D54" s="36"/>
      <c r="E54" s="56">
        <f>E52/E53</f>
        <v>6354.8441666666668</v>
      </c>
      <c r="F54" s="35"/>
      <c r="G54" s="36"/>
      <c r="H54" s="35" t="s">
        <v>40</v>
      </c>
      <c r="I54" s="61">
        <f>I52/I53</f>
        <v>6990.3283333333338</v>
      </c>
      <c r="J54" s="61" t="e">
        <f>J52/J53</f>
        <v>#VALUE!</v>
      </c>
    </row>
    <row r="55" spans="1:10" hidden="1">
      <c r="A55" s="35"/>
      <c r="B55" s="35"/>
      <c r="C55" s="35"/>
      <c r="D55" s="36"/>
      <c r="E55" s="43"/>
      <c r="F55" s="35"/>
      <c r="G55" s="36"/>
      <c r="H55" s="35"/>
      <c r="I55" s="35"/>
      <c r="J55" s="35"/>
    </row>
    <row r="56" spans="1:10" hidden="1">
      <c r="A56" s="35"/>
      <c r="B56" s="40" t="s">
        <v>41</v>
      </c>
      <c r="C56" s="35"/>
      <c r="D56" s="36"/>
      <c r="E56" s="43"/>
      <c r="F56" s="35"/>
      <c r="G56" s="36"/>
      <c r="H56" s="40"/>
      <c r="I56" s="35"/>
      <c r="J56" s="35"/>
    </row>
    <row r="57" spans="1:10" ht="15" hidden="1" customHeight="1">
      <c r="A57" s="35"/>
      <c r="B57" s="35" t="s">
        <v>42</v>
      </c>
      <c r="C57" s="35"/>
      <c r="D57" s="36"/>
      <c r="E57" s="35"/>
      <c r="F57" s="35"/>
      <c r="G57" s="36"/>
      <c r="H57" s="35"/>
      <c r="I57" s="35"/>
      <c r="J57" s="35"/>
    </row>
    <row r="58" spans="1:10" hidden="1">
      <c r="A58" s="35"/>
      <c r="B58" s="35" t="s">
        <v>43</v>
      </c>
      <c r="C58" s="35"/>
      <c r="D58" s="36"/>
      <c r="E58" s="35"/>
      <c r="F58" s="35"/>
      <c r="G58" s="36"/>
      <c r="H58" s="35"/>
      <c r="I58" s="35"/>
      <c r="J58" s="35"/>
    </row>
    <row r="59" spans="1:10" hidden="1">
      <c r="A59" s="35"/>
      <c r="B59" s="35"/>
      <c r="C59" s="35"/>
      <c r="D59" s="36"/>
      <c r="E59" s="35"/>
      <c r="F59" s="35"/>
      <c r="G59" s="36"/>
      <c r="H59" s="35"/>
      <c r="I59" s="35"/>
      <c r="J59" s="35"/>
    </row>
    <row r="60" spans="1:10" ht="16.5" hidden="1" thickBot="1">
      <c r="A60" s="35"/>
      <c r="B60" s="35" t="s">
        <v>44</v>
      </c>
      <c r="C60" s="35"/>
      <c r="D60" s="36"/>
      <c r="E60" s="62">
        <f>E23-E19</f>
        <v>10037.5</v>
      </c>
      <c r="F60" s="62">
        <f>F23-F19</f>
        <v>10363.541666666666</v>
      </c>
      <c r="G60" s="63"/>
      <c r="H60" s="62">
        <f>H23-H19</f>
        <v>16392.344166666666</v>
      </c>
      <c r="I60" s="62">
        <f>I23-I19</f>
        <v>17516.890833333335</v>
      </c>
      <c r="J60" s="62">
        <f>J23-J19</f>
        <v>17516.890833333335</v>
      </c>
    </row>
    <row r="61" spans="1:10" hidden="1">
      <c r="A61" s="35"/>
      <c r="B61" s="35"/>
      <c r="C61" s="35"/>
      <c r="D61" s="36"/>
      <c r="E61" s="35"/>
      <c r="F61" s="35"/>
      <c r="G61" s="36"/>
      <c r="H61" s="35"/>
      <c r="I61" s="35"/>
      <c r="J61" s="35"/>
    </row>
    <row r="62" spans="1:10">
      <c r="A62" s="35" t="s">
        <v>81</v>
      </c>
      <c r="B62" s="35"/>
      <c r="C62" s="35"/>
      <c r="D62" s="36"/>
      <c r="E62" s="35"/>
      <c r="F62" s="35"/>
      <c r="G62" s="36"/>
      <c r="H62" s="35"/>
      <c r="I62" s="35"/>
      <c r="J62" s="35"/>
    </row>
    <row r="63" spans="1:10">
      <c r="A63" s="35"/>
      <c r="B63" s="35"/>
      <c r="C63" s="35"/>
      <c r="D63" s="36"/>
      <c r="E63" s="35"/>
      <c r="F63" s="35"/>
      <c r="G63" s="36"/>
      <c r="H63" s="35"/>
      <c r="I63" s="35"/>
      <c r="J63" s="35"/>
    </row>
    <row r="64" spans="1:10">
      <c r="A64" s="35" t="s">
        <v>109</v>
      </c>
      <c r="B64" s="35"/>
      <c r="C64" s="35"/>
      <c r="D64" s="36"/>
      <c r="E64" s="35"/>
      <c r="F64" s="35"/>
      <c r="G64" s="36"/>
      <c r="H64" s="36">
        <v>3</v>
      </c>
      <c r="I64" s="36">
        <v>5</v>
      </c>
      <c r="J64" s="36">
        <v>2</v>
      </c>
    </row>
    <row r="65" spans="1:10">
      <c r="A65" s="35"/>
      <c r="B65" s="35"/>
      <c r="C65" s="35"/>
      <c r="D65" s="36"/>
      <c r="E65" s="35"/>
      <c r="F65" s="35"/>
      <c r="G65" s="36"/>
      <c r="H65" s="35"/>
      <c r="I65" s="35"/>
      <c r="J65" s="35"/>
    </row>
    <row r="66" spans="1:10">
      <c r="A66" s="35" t="s">
        <v>110</v>
      </c>
      <c r="B66" s="35"/>
      <c r="C66" s="35"/>
      <c r="D66" s="36"/>
      <c r="E66" s="35"/>
      <c r="F66" s="35"/>
      <c r="G66" s="36"/>
      <c r="H66" s="64">
        <f>H42*H64</f>
        <v>59395.707500000004</v>
      </c>
      <c r="I66" s="64">
        <f>I42*I64</f>
        <v>105040.57916666669</v>
      </c>
      <c r="J66" s="64">
        <f>J42*J64</f>
        <v>42016.231666666674</v>
      </c>
    </row>
    <row r="67" spans="1:10">
      <c r="A67" s="35"/>
      <c r="B67" s="35"/>
      <c r="C67" s="35"/>
      <c r="D67" s="36"/>
      <c r="E67" s="35"/>
      <c r="F67" s="35"/>
      <c r="G67" s="36"/>
      <c r="H67" s="35"/>
      <c r="I67" s="35"/>
      <c r="J67" s="35"/>
    </row>
    <row r="68" spans="1:10" ht="30.75" customHeight="1" thickBot="1">
      <c r="A68" s="65" t="s">
        <v>119</v>
      </c>
      <c r="B68" s="65"/>
      <c r="C68" s="65"/>
      <c r="D68" s="36"/>
      <c r="E68" s="35"/>
      <c r="F68" s="35"/>
      <c r="G68" s="36"/>
      <c r="H68" s="66">
        <f>H66*12</f>
        <v>712748.49</v>
      </c>
      <c r="I68" s="66">
        <f>I66*12</f>
        <v>1260486.9500000002</v>
      </c>
      <c r="J68" s="66">
        <f>J66*12</f>
        <v>504194.78000000009</v>
      </c>
    </row>
    <row r="69" spans="1:10" ht="16.5" thickTop="1"/>
  </sheetData>
  <sheetProtection algorithmName="SHA-512" hashValue="TH6/1McjESCbsuXqY3J6teQ8xAMDKIxAPDfVlRXRoaxwO85Mv33YqrWnJeYy5CHcw7LYJ6iwkBVetW9Cbk+dQg==" saltValue="6ktqCdG70pxeWpoTWKgk0g==" spinCount="100000" sheet="1" objects="1" scenarios="1"/>
  <mergeCells count="7">
    <mergeCell ref="A68:C68"/>
    <mergeCell ref="A2:I2"/>
    <mergeCell ref="A3:I3"/>
    <mergeCell ref="A4:I4"/>
    <mergeCell ref="E8:F8"/>
    <mergeCell ref="H8:I8"/>
    <mergeCell ref="A38:B38"/>
  </mergeCells>
  <pageMargins left="0.70866141732283505" right="0.70866141732283505" top="0.74803149606299202" bottom="0.74803149606299202" header="0.31496062992126" footer="0.31496062992126"/>
  <pageSetup paperSize="124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700F8-9173-45F3-8067-3317019E2E0A}">
  <dimension ref="A1:K69"/>
  <sheetViews>
    <sheetView zoomScale="82" zoomScaleNormal="82" workbookViewId="0">
      <selection activeCell="C36" sqref="C36"/>
    </sheetView>
  </sheetViews>
  <sheetFormatPr defaultColWidth="9.140625" defaultRowHeight="15.75"/>
  <cols>
    <col min="1" max="1" width="4.5703125" style="1" customWidth="1"/>
    <col min="2" max="2" width="53.5703125" style="1" customWidth="1"/>
    <col min="3" max="3" width="8" style="1" customWidth="1"/>
    <col min="4" max="4" width="4.140625" style="1" hidden="1" customWidth="1"/>
    <col min="5" max="5" width="18.140625" style="1" hidden="1" customWidth="1"/>
    <col min="6" max="6" width="18" style="1" hidden="1" customWidth="1"/>
    <col min="7" max="7" width="3.42578125" style="14" customWidth="1"/>
    <col min="8" max="8" width="20.42578125" style="1" customWidth="1"/>
    <col min="9" max="10" width="21.140625" style="1" customWidth="1"/>
    <col min="11" max="16384" width="9.140625" style="1"/>
  </cols>
  <sheetData>
    <row r="1" spans="1:10">
      <c r="A1" s="35"/>
      <c r="B1" s="35"/>
      <c r="C1" s="35"/>
      <c r="D1" s="35"/>
      <c r="E1" s="35"/>
      <c r="F1" s="35"/>
      <c r="G1" s="36"/>
      <c r="H1" s="35"/>
      <c r="I1" s="35"/>
      <c r="J1" s="35"/>
    </row>
    <row r="2" spans="1:10">
      <c r="A2" s="37" t="s">
        <v>82</v>
      </c>
      <c r="B2" s="37"/>
      <c r="C2" s="37"/>
      <c r="D2" s="37"/>
      <c r="E2" s="37"/>
      <c r="F2" s="37"/>
      <c r="G2" s="37"/>
      <c r="H2" s="37"/>
      <c r="I2" s="37"/>
      <c r="J2" s="35"/>
    </row>
    <row r="3" spans="1:10">
      <c r="A3" s="38" t="s">
        <v>83</v>
      </c>
      <c r="B3" s="38"/>
      <c r="C3" s="38"/>
      <c r="D3" s="38"/>
      <c r="E3" s="38"/>
      <c r="F3" s="38"/>
      <c r="G3" s="38"/>
      <c r="H3" s="38"/>
      <c r="I3" s="38"/>
      <c r="J3" s="35"/>
    </row>
    <row r="4" spans="1:10">
      <c r="A4" s="38" t="s">
        <v>84</v>
      </c>
      <c r="B4" s="38"/>
      <c r="C4" s="38"/>
      <c r="D4" s="38"/>
      <c r="E4" s="38"/>
      <c r="F4" s="38"/>
      <c r="G4" s="38"/>
      <c r="H4" s="38"/>
      <c r="I4" s="38"/>
      <c r="J4" s="35"/>
    </row>
    <row r="5" spans="1:10">
      <c r="A5" s="35"/>
      <c r="B5" s="35"/>
      <c r="C5" s="35"/>
      <c r="D5" s="35"/>
      <c r="E5" s="35"/>
      <c r="F5" s="35"/>
      <c r="G5" s="36"/>
      <c r="H5" s="35"/>
      <c r="I5" s="35"/>
      <c r="J5" s="35"/>
    </row>
    <row r="6" spans="1:10" ht="18" customHeight="1">
      <c r="A6" s="35"/>
      <c r="B6" s="35"/>
      <c r="C6" s="35"/>
      <c r="D6" s="35"/>
      <c r="E6" s="37" t="s">
        <v>85</v>
      </c>
      <c r="F6" s="37"/>
      <c r="G6" s="39"/>
      <c r="H6" s="37" t="s">
        <v>86</v>
      </c>
      <c r="I6" s="37"/>
      <c r="J6" s="35"/>
    </row>
    <row r="7" spans="1:10" ht="18" customHeight="1">
      <c r="A7" s="35" t="s">
        <v>0</v>
      </c>
      <c r="B7" s="35"/>
      <c r="C7" s="35"/>
      <c r="D7" s="35"/>
      <c r="E7" s="36" t="s">
        <v>1</v>
      </c>
      <c r="F7" s="36" t="s">
        <v>1</v>
      </c>
      <c r="G7" s="36"/>
      <c r="H7" s="36" t="s">
        <v>1</v>
      </c>
      <c r="I7" s="36" t="s">
        <v>1</v>
      </c>
      <c r="J7" s="36" t="s">
        <v>1</v>
      </c>
    </row>
    <row r="8" spans="1:10" ht="18" customHeight="1">
      <c r="A8" s="35" t="s">
        <v>2</v>
      </c>
      <c r="B8" s="35"/>
      <c r="C8" s="35"/>
      <c r="D8" s="35"/>
      <c r="E8" s="36">
        <v>313</v>
      </c>
      <c r="F8" s="36">
        <v>313</v>
      </c>
      <c r="G8" s="36"/>
      <c r="H8" s="36">
        <v>313</v>
      </c>
      <c r="I8" s="36">
        <v>313</v>
      </c>
      <c r="J8" s="36">
        <v>313</v>
      </c>
    </row>
    <row r="9" spans="1:10" ht="18" customHeight="1">
      <c r="A9" s="35"/>
      <c r="B9" s="35"/>
      <c r="C9" s="35"/>
      <c r="D9" s="35"/>
      <c r="E9" s="36" t="s">
        <v>3</v>
      </c>
      <c r="F9" s="36" t="s">
        <v>3</v>
      </c>
      <c r="G9" s="36"/>
      <c r="H9" s="36" t="s">
        <v>4</v>
      </c>
      <c r="I9" s="36" t="s">
        <v>4</v>
      </c>
      <c r="J9" s="36" t="s">
        <v>4</v>
      </c>
    </row>
    <row r="10" spans="1:10" ht="18" customHeight="1">
      <c r="A10" s="35"/>
      <c r="B10" s="35"/>
      <c r="C10" s="35"/>
      <c r="D10" s="35"/>
      <c r="E10" s="36" t="s">
        <v>5</v>
      </c>
      <c r="F10" s="36" t="s">
        <v>6</v>
      </c>
      <c r="G10" s="36"/>
      <c r="H10" s="36" t="s">
        <v>5</v>
      </c>
      <c r="I10" s="36" t="s">
        <v>6</v>
      </c>
      <c r="J10" s="36" t="s">
        <v>112</v>
      </c>
    </row>
    <row r="11" spans="1:10" ht="18" customHeight="1">
      <c r="A11" s="35"/>
      <c r="B11" s="35"/>
      <c r="C11" s="35"/>
      <c r="D11" s="35"/>
      <c r="E11" s="35"/>
      <c r="F11" s="35"/>
      <c r="G11" s="36"/>
      <c r="H11" s="35"/>
      <c r="I11" s="35"/>
      <c r="J11" s="35"/>
    </row>
    <row r="12" spans="1:10" ht="18" customHeight="1">
      <c r="A12" s="40" t="s">
        <v>7</v>
      </c>
      <c r="B12" s="35"/>
      <c r="C12" s="35"/>
      <c r="D12" s="35"/>
      <c r="E12" s="35"/>
      <c r="F12" s="35"/>
      <c r="G12" s="36"/>
      <c r="H12" s="35"/>
      <c r="I12" s="35"/>
      <c r="J12" s="35"/>
    </row>
    <row r="13" spans="1:10" ht="18" customHeight="1">
      <c r="A13" s="35" t="s">
        <v>8</v>
      </c>
      <c r="B13" s="35"/>
      <c r="C13" s="35"/>
      <c r="D13" s="36" t="s">
        <v>9</v>
      </c>
      <c r="E13" s="41">
        <v>443</v>
      </c>
      <c r="F13" s="41">
        <v>443</v>
      </c>
      <c r="G13" s="36" t="s">
        <v>9</v>
      </c>
      <c r="H13" s="41">
        <v>443</v>
      </c>
      <c r="I13" s="41">
        <v>443</v>
      </c>
      <c r="J13" s="41">
        <v>443</v>
      </c>
    </row>
    <row r="14" spans="1:10" ht="18" customHeight="1">
      <c r="A14" s="35"/>
      <c r="B14" s="35"/>
      <c r="C14" s="35"/>
      <c r="D14" s="35"/>
      <c r="E14" s="35"/>
      <c r="F14" s="35"/>
      <c r="G14" s="36"/>
      <c r="H14" s="35"/>
      <c r="I14" s="35"/>
      <c r="J14" s="35"/>
    </row>
    <row r="15" spans="1:10">
      <c r="A15" s="35" t="s">
        <v>10</v>
      </c>
      <c r="B15" s="35"/>
      <c r="C15" s="35"/>
      <c r="D15" s="35"/>
      <c r="E15" s="41">
        <f>ROUND((E13*E8/12),2)</f>
        <v>11554.92</v>
      </c>
      <c r="F15" s="41">
        <f>ROUND((F13*F8/12),2)</f>
        <v>11554.92</v>
      </c>
      <c r="G15" s="42"/>
      <c r="H15" s="41">
        <f>ROUND((H13*H8/12),2)</f>
        <v>11554.92</v>
      </c>
      <c r="I15" s="41">
        <f>ROUND((I13*I8/12),2)</f>
        <v>11554.92</v>
      </c>
      <c r="J15" s="41">
        <f>ROUND((J13*J8/12),2)</f>
        <v>11554.92</v>
      </c>
    </row>
    <row r="16" spans="1:10" ht="19.5" customHeight="1">
      <c r="A16" s="35" t="s">
        <v>11</v>
      </c>
      <c r="B16" s="35"/>
      <c r="C16" s="35"/>
      <c r="D16" s="35"/>
      <c r="E16" s="41">
        <v>0</v>
      </c>
      <c r="F16" s="41">
        <f>F15*10%*1/3</f>
        <v>385.16399999999999</v>
      </c>
      <c r="G16" s="42"/>
      <c r="H16" s="41">
        <v>0</v>
      </c>
      <c r="I16" s="41">
        <f>+I15*10%*1/2</f>
        <v>577.74599999999998</v>
      </c>
      <c r="J16" s="41">
        <f>+J15*10%*1/2</f>
        <v>577.74599999999998</v>
      </c>
    </row>
    <row r="17" spans="1:10" ht="18" customHeight="1">
      <c r="A17" s="35" t="s">
        <v>12</v>
      </c>
      <c r="B17" s="35"/>
      <c r="C17" s="35"/>
      <c r="D17" s="35"/>
      <c r="E17" s="41">
        <f>ROUND((E13*365/12/12),2)</f>
        <v>1122.8800000000001</v>
      </c>
      <c r="F17" s="41">
        <f>ROUND((F13*365/12/12),2)</f>
        <v>1122.8800000000001</v>
      </c>
      <c r="G17" s="42"/>
      <c r="H17" s="41">
        <f>ROUND((H13*365/12/12),2)</f>
        <v>1122.8800000000001</v>
      </c>
      <c r="I17" s="41">
        <f>ROUND((I13*365/12/12),2)</f>
        <v>1122.8800000000001</v>
      </c>
      <c r="J17" s="41">
        <f>ROUND((J13*365/12/12),2)</f>
        <v>1122.8800000000001</v>
      </c>
    </row>
    <row r="18" spans="1:10" ht="18" customHeight="1">
      <c r="A18" s="35" t="s">
        <v>13</v>
      </c>
      <c r="B18" s="35"/>
      <c r="C18" s="35"/>
      <c r="D18" s="35"/>
      <c r="E18" s="41">
        <f>+E13*(5/12)</f>
        <v>184.58333333333334</v>
      </c>
      <c r="F18" s="41">
        <f>+F13*(5/12)</f>
        <v>184.58333333333334</v>
      </c>
      <c r="G18" s="42"/>
      <c r="H18" s="43">
        <f>H13*(5/12)</f>
        <v>184.58333333333334</v>
      </c>
      <c r="I18" s="43">
        <f>I13*(5/12)</f>
        <v>184.58333333333334</v>
      </c>
      <c r="J18" s="43">
        <f>J13*(5/12)</f>
        <v>184.58333333333334</v>
      </c>
    </row>
    <row r="19" spans="1:10" ht="18" customHeight="1">
      <c r="A19" s="35" t="s">
        <v>14</v>
      </c>
      <c r="B19" s="35"/>
      <c r="C19" s="35"/>
      <c r="D19" s="35"/>
      <c r="E19" s="41">
        <v>100</v>
      </c>
      <c r="F19" s="41">
        <v>100</v>
      </c>
      <c r="G19" s="42"/>
      <c r="H19" s="44">
        <v>100</v>
      </c>
      <c r="I19" s="41">
        <v>100</v>
      </c>
      <c r="J19" s="41">
        <v>100</v>
      </c>
    </row>
    <row r="20" spans="1:10" ht="21" customHeight="1">
      <c r="A20" s="35" t="s">
        <v>15</v>
      </c>
      <c r="B20" s="35"/>
      <c r="C20" s="35"/>
      <c r="D20" s="35"/>
      <c r="E20" s="45">
        <v>0</v>
      </c>
      <c r="F20" s="45">
        <f>0*377/12</f>
        <v>0</v>
      </c>
      <c r="G20" s="46"/>
      <c r="H20" s="47">
        <f>+E52</f>
        <v>7507.189166666667</v>
      </c>
      <c r="I20" s="47">
        <f>+I52</f>
        <v>8257.9075000000012</v>
      </c>
      <c r="J20" s="47">
        <v>8257.9075000000012</v>
      </c>
    </row>
    <row r="21" spans="1:10" ht="18" customHeight="1">
      <c r="A21" s="35"/>
      <c r="B21" s="35"/>
      <c r="C21" s="35"/>
      <c r="D21" s="35"/>
      <c r="E21" s="43">
        <f>SUM(E15:E20)</f>
        <v>12962.383333333333</v>
      </c>
      <c r="F21" s="43">
        <f>SUM(F15:F20)</f>
        <v>13347.547333333334</v>
      </c>
      <c r="G21" s="48"/>
      <c r="H21" s="43">
        <f>SUM(H15:H20)</f>
        <v>20469.572500000002</v>
      </c>
      <c r="I21" s="43">
        <f>SUM(I15:I20)</f>
        <v>21798.036833333332</v>
      </c>
      <c r="J21" s="43">
        <f>SUM(J15:J20)</f>
        <v>21798.036833333332</v>
      </c>
    </row>
    <row r="22" spans="1:10" ht="18" customHeight="1">
      <c r="A22" s="35"/>
      <c r="B22" s="35"/>
      <c r="C22" s="35"/>
      <c r="D22" s="35"/>
      <c r="E22" s="43"/>
      <c r="F22" s="35"/>
      <c r="G22" s="36"/>
      <c r="H22" s="35"/>
      <c r="I22" s="35"/>
      <c r="J22" s="35"/>
    </row>
    <row r="23" spans="1:10" ht="18" customHeight="1">
      <c r="A23" s="40" t="s">
        <v>16</v>
      </c>
      <c r="B23" s="35"/>
      <c r="C23" s="35"/>
      <c r="D23" s="35"/>
      <c r="E23" s="35"/>
      <c r="F23" s="35"/>
      <c r="G23" s="36"/>
      <c r="H23" s="35"/>
      <c r="I23" s="35"/>
      <c r="J23" s="35"/>
    </row>
    <row r="24" spans="1:10" ht="18" customHeight="1">
      <c r="A24" s="35" t="s">
        <v>17</v>
      </c>
      <c r="B24" s="35"/>
      <c r="C24" s="35"/>
      <c r="D24" s="35"/>
      <c r="E24" s="49">
        <f>+E13*22.5/12</f>
        <v>830.625</v>
      </c>
      <c r="F24" s="49">
        <f>+F13*22.5/12</f>
        <v>830.625</v>
      </c>
      <c r="G24" s="42"/>
      <c r="H24" s="41">
        <f>+H13*22.5/12</f>
        <v>830.625</v>
      </c>
      <c r="I24" s="41">
        <f>+I13*22.5/12</f>
        <v>830.625</v>
      </c>
      <c r="J24" s="41">
        <f>+J13*22.5/12</f>
        <v>830.625</v>
      </c>
    </row>
    <row r="25" spans="1:10" ht="18" customHeight="1">
      <c r="A25" s="35" t="s">
        <v>18</v>
      </c>
      <c r="B25" s="35"/>
      <c r="C25" s="35"/>
      <c r="D25" s="35"/>
      <c r="E25" s="49">
        <v>1020</v>
      </c>
      <c r="F25" s="49">
        <v>1020</v>
      </c>
      <c r="G25" s="42"/>
      <c r="H25" s="49">
        <v>1657.5</v>
      </c>
      <c r="I25" s="49">
        <v>1700</v>
      </c>
      <c r="J25" s="49">
        <v>1700</v>
      </c>
    </row>
    <row r="26" spans="1:10" ht="18" customHeight="1">
      <c r="A26" s="35" t="s">
        <v>19</v>
      </c>
      <c r="B26" s="35"/>
      <c r="C26" s="35"/>
      <c r="D26" s="35"/>
      <c r="E26" s="49">
        <v>0</v>
      </c>
      <c r="F26" s="49">
        <v>0</v>
      </c>
      <c r="G26" s="42"/>
      <c r="H26" s="49">
        <v>0</v>
      </c>
      <c r="I26" s="49">
        <v>42.5</v>
      </c>
      <c r="J26" s="49">
        <v>42.5</v>
      </c>
    </row>
    <row r="27" spans="1:10" ht="18" customHeight="1">
      <c r="A27" s="35" t="s">
        <v>20</v>
      </c>
      <c r="B27" s="35"/>
      <c r="C27" s="35"/>
      <c r="D27" s="35"/>
      <c r="E27" s="49">
        <f>(E15*0.045)/2</f>
        <v>259.98570000000001</v>
      </c>
      <c r="F27" s="49">
        <f>(F15*0.045)/2</f>
        <v>259.98570000000001</v>
      </c>
      <c r="G27" s="42"/>
      <c r="H27" s="41">
        <f>ROUND((H15*0.045/2),2)</f>
        <v>259.99</v>
      </c>
      <c r="I27" s="41">
        <f>ROUND((I15*0.045/2),2)</f>
        <v>259.99</v>
      </c>
      <c r="J27" s="41">
        <f>ROUND((J15*0.045/2),2)</f>
        <v>259.99</v>
      </c>
    </row>
    <row r="28" spans="1:10" ht="18" customHeight="1">
      <c r="A28" s="35" t="s">
        <v>21</v>
      </c>
      <c r="B28" s="35"/>
      <c r="C28" s="35"/>
      <c r="D28" s="35"/>
      <c r="E28" s="49">
        <v>10</v>
      </c>
      <c r="F28" s="49">
        <v>10</v>
      </c>
      <c r="G28" s="42"/>
      <c r="H28" s="41">
        <v>30</v>
      </c>
      <c r="I28" s="41">
        <v>30</v>
      </c>
      <c r="J28" s="41">
        <v>30</v>
      </c>
    </row>
    <row r="29" spans="1:10" ht="18" customHeight="1">
      <c r="A29" s="35" t="s">
        <v>22</v>
      </c>
      <c r="B29" s="35"/>
      <c r="C29" s="35"/>
      <c r="D29" s="35"/>
      <c r="E29" s="50">
        <v>100</v>
      </c>
      <c r="F29" s="50">
        <v>100</v>
      </c>
      <c r="G29" s="46"/>
      <c r="H29" s="45">
        <v>100</v>
      </c>
      <c r="I29" s="45">
        <v>100</v>
      </c>
      <c r="J29" s="45">
        <v>100</v>
      </c>
    </row>
    <row r="30" spans="1:10" ht="18" customHeight="1">
      <c r="A30" s="35"/>
      <c r="B30" s="35"/>
      <c r="C30" s="35"/>
      <c r="D30" s="35"/>
      <c r="E30" s="51">
        <f>SUM(E24:E29)</f>
        <v>2220.6107000000002</v>
      </c>
      <c r="F30" s="51">
        <f>SUM(F24:F29)</f>
        <v>2220.6107000000002</v>
      </c>
      <c r="G30" s="48"/>
      <c r="H30" s="43">
        <f>SUM(H24:H29)</f>
        <v>2878.1149999999998</v>
      </c>
      <c r="I30" s="43">
        <f>SUM(I24:I29)</f>
        <v>2963.1149999999998</v>
      </c>
      <c r="J30" s="43">
        <f>SUM(J24:J29)</f>
        <v>2963.1149999999998</v>
      </c>
    </row>
    <row r="31" spans="1:10" ht="18" customHeight="1">
      <c r="A31" s="35"/>
      <c r="B31" s="35"/>
      <c r="C31" s="35"/>
      <c r="D31" s="35"/>
      <c r="E31" s="35"/>
      <c r="F31" s="35"/>
      <c r="G31" s="36"/>
      <c r="H31" s="35"/>
      <c r="I31" s="35"/>
      <c r="J31" s="35"/>
    </row>
    <row r="32" spans="1:10" ht="18" customHeight="1">
      <c r="A32" s="35"/>
      <c r="B32" s="35"/>
      <c r="C32" s="35"/>
      <c r="D32" s="35"/>
      <c r="E32" s="40"/>
      <c r="F32" s="40"/>
      <c r="G32" s="39"/>
      <c r="H32" s="35"/>
      <c r="I32" s="35"/>
      <c r="J32" s="35"/>
    </row>
    <row r="33" spans="1:10" ht="18" customHeight="1">
      <c r="A33" s="40" t="s">
        <v>23</v>
      </c>
      <c r="B33" s="35"/>
      <c r="C33" s="35"/>
      <c r="D33" s="36" t="s">
        <v>9</v>
      </c>
      <c r="E33" s="52">
        <f>+E21+E30</f>
        <v>15182.994033333332</v>
      </c>
      <c r="F33" s="52">
        <f>+F21+F30</f>
        <v>15568.158033333333</v>
      </c>
      <c r="G33" s="36" t="s">
        <v>9</v>
      </c>
      <c r="H33" s="52">
        <f>+H30+H21</f>
        <v>23347.6875</v>
      </c>
      <c r="I33" s="52">
        <f>+I30+I21</f>
        <v>24761.15183333333</v>
      </c>
      <c r="J33" s="52">
        <f>+J30+J21</f>
        <v>24761.15183333333</v>
      </c>
    </row>
    <row r="34" spans="1:10" ht="18" customHeight="1">
      <c r="A34" s="35"/>
      <c r="B34" s="35"/>
      <c r="C34" s="35"/>
      <c r="D34" s="35"/>
      <c r="E34" s="35"/>
      <c r="F34" s="35"/>
      <c r="G34" s="36"/>
      <c r="H34" s="35"/>
      <c r="I34" s="35"/>
      <c r="J34" s="35"/>
    </row>
    <row r="35" spans="1:10" ht="18" customHeight="1">
      <c r="A35" s="40" t="s">
        <v>24</v>
      </c>
      <c r="B35" s="35"/>
      <c r="C35" s="35"/>
      <c r="D35" s="35"/>
      <c r="E35" s="35"/>
      <c r="F35" s="35"/>
      <c r="G35" s="36"/>
      <c r="H35" s="35"/>
      <c r="I35" s="35"/>
      <c r="J35" s="35"/>
    </row>
    <row r="36" spans="1:10" ht="15.75" customHeight="1">
      <c r="A36" s="53" t="s">
        <v>25</v>
      </c>
      <c r="B36" s="53"/>
      <c r="C36" s="34"/>
      <c r="D36" s="35"/>
      <c r="E36" s="54">
        <f>+E33*0.24</f>
        <v>3643.9185679999996</v>
      </c>
      <c r="F36" s="54">
        <f>+F33*24%</f>
        <v>3736.3579279999999</v>
      </c>
      <c r="G36" s="55"/>
      <c r="H36" s="52">
        <f>H33*C36</f>
        <v>0</v>
      </c>
      <c r="I36" s="52">
        <f>I33*C36</f>
        <v>0</v>
      </c>
      <c r="J36" s="52">
        <f>J33*C36</f>
        <v>0</v>
      </c>
    </row>
    <row r="37" spans="1:10" ht="18" customHeight="1">
      <c r="A37" s="35"/>
      <c r="B37" s="35"/>
      <c r="C37" s="35"/>
      <c r="D37" s="35"/>
      <c r="E37" s="40"/>
      <c r="F37" s="40"/>
      <c r="G37" s="39"/>
      <c r="H37" s="40"/>
      <c r="I37" s="40"/>
      <c r="J37" s="40"/>
    </row>
    <row r="38" spans="1:10" ht="18" customHeight="1">
      <c r="A38" s="40" t="s">
        <v>26</v>
      </c>
      <c r="B38" s="35"/>
      <c r="C38" s="35"/>
      <c r="D38" s="35"/>
      <c r="E38" s="54">
        <f>+E36*0.12</f>
        <v>437.27022815999993</v>
      </c>
      <c r="F38" s="54">
        <f>+F36*0.12</f>
        <v>448.36295135999995</v>
      </c>
      <c r="G38" s="55"/>
      <c r="H38" s="54">
        <f>+H36*0.12</f>
        <v>0</v>
      </c>
      <c r="I38" s="54">
        <f>+I36*0.12</f>
        <v>0</v>
      </c>
      <c r="J38" s="54">
        <f>+J36*0.12</f>
        <v>0</v>
      </c>
    </row>
    <row r="39" spans="1:10" ht="18" customHeight="1">
      <c r="A39" s="35"/>
      <c r="B39" s="35"/>
      <c r="C39" s="35"/>
      <c r="D39" s="35"/>
      <c r="E39" s="35"/>
      <c r="F39" s="35"/>
      <c r="G39" s="36"/>
      <c r="H39" s="35"/>
      <c r="I39" s="35"/>
      <c r="J39" s="35"/>
    </row>
    <row r="40" spans="1:10" ht="18" customHeight="1" thickBot="1">
      <c r="A40" s="40" t="s">
        <v>27</v>
      </c>
      <c r="B40" s="35"/>
      <c r="C40" s="35"/>
      <c r="D40" s="36" t="s">
        <v>9</v>
      </c>
      <c r="E40" s="56">
        <f>+E33+E36+E38</f>
        <v>19264.182829493333</v>
      </c>
      <c r="F40" s="56">
        <f>+F33+F36+F38</f>
        <v>19752.878912693333</v>
      </c>
      <c r="G40" s="36" t="s">
        <v>9</v>
      </c>
      <c r="H40" s="57">
        <f>H33+H36+H38</f>
        <v>23347.6875</v>
      </c>
      <c r="I40" s="57">
        <f>I33+I36+I38</f>
        <v>24761.15183333333</v>
      </c>
      <c r="J40" s="57">
        <f>J33+J36+J38</f>
        <v>24761.15183333333</v>
      </c>
    </row>
    <row r="41" spans="1:10" ht="18" customHeight="1" thickTop="1">
      <c r="A41" s="35"/>
      <c r="B41" s="35"/>
      <c r="C41" s="35"/>
      <c r="D41" s="35"/>
      <c r="E41" s="35"/>
      <c r="F41" s="35"/>
      <c r="G41" s="36"/>
      <c r="H41" s="35"/>
      <c r="I41" s="35"/>
      <c r="J41" s="35"/>
    </row>
    <row r="42" spans="1:10">
      <c r="A42" s="35"/>
      <c r="B42" s="35"/>
      <c r="C42" s="35"/>
      <c r="D42" s="35"/>
      <c r="E42" s="35"/>
      <c r="F42" s="35"/>
      <c r="G42" s="36"/>
      <c r="H42" s="35"/>
      <c r="I42" s="35"/>
      <c r="J42" s="35"/>
    </row>
    <row r="43" spans="1:10" hidden="1">
      <c r="A43" s="35"/>
      <c r="B43" s="35"/>
      <c r="C43" s="35"/>
      <c r="D43" s="35"/>
      <c r="E43" s="41"/>
      <c r="F43" s="41"/>
      <c r="G43" s="42"/>
      <c r="H43" s="35"/>
      <c r="I43" s="35"/>
      <c r="J43" s="35"/>
    </row>
    <row r="44" spans="1:10" hidden="1">
      <c r="A44" s="35"/>
      <c r="B44" s="35" t="s">
        <v>28</v>
      </c>
      <c r="C44" s="35"/>
      <c r="D44" s="35"/>
      <c r="E44" s="43"/>
      <c r="F44" s="43"/>
      <c r="G44" s="48"/>
      <c r="H44" s="35" t="s">
        <v>29</v>
      </c>
      <c r="I44" s="35"/>
      <c r="J44" s="35"/>
    </row>
    <row r="45" spans="1:10" hidden="1">
      <c r="A45" s="35"/>
      <c r="B45" s="35"/>
      <c r="C45" s="35"/>
      <c r="D45" s="35"/>
      <c r="E45" s="35"/>
      <c r="F45" s="35"/>
      <c r="G45" s="36"/>
      <c r="H45" s="35"/>
      <c r="I45" s="35"/>
      <c r="J45" s="35"/>
    </row>
    <row r="46" spans="1:10" hidden="1">
      <c r="A46" s="35"/>
      <c r="B46" s="35" t="s">
        <v>30</v>
      </c>
      <c r="C46" s="48">
        <f>E13/8</f>
        <v>55.375</v>
      </c>
      <c r="D46" s="35"/>
      <c r="E46" s="35"/>
      <c r="F46" s="35"/>
      <c r="G46" s="36"/>
      <c r="H46" s="35" t="s">
        <v>30</v>
      </c>
      <c r="I46" s="48">
        <f>I13/8</f>
        <v>55.375</v>
      </c>
      <c r="J46" s="48">
        <f>J13/8</f>
        <v>55.375</v>
      </c>
    </row>
    <row r="47" spans="1:10" hidden="1">
      <c r="A47" s="36">
        <v>295</v>
      </c>
      <c r="B47" s="35" t="s">
        <v>31</v>
      </c>
      <c r="C47" s="35"/>
      <c r="D47" s="35"/>
      <c r="E47" s="41">
        <f>ROUND((C46*1.25*295*4),2)</f>
        <v>81678.13</v>
      </c>
      <c r="F47" s="35"/>
      <c r="G47" s="36"/>
      <c r="H47" s="35" t="s">
        <v>32</v>
      </c>
      <c r="I47" s="58">
        <f>ROUND((I46*1.375*A47*4),2)</f>
        <v>89845.94</v>
      </c>
      <c r="J47" s="58" t="e">
        <f>ROUND((J46*1.375*B47*4),2)</f>
        <v>#VALUE!</v>
      </c>
    </row>
    <row r="48" spans="1:10" hidden="1">
      <c r="A48" s="36">
        <v>12</v>
      </c>
      <c r="B48" s="35" t="s">
        <v>33</v>
      </c>
      <c r="C48" s="35"/>
      <c r="D48" s="35"/>
      <c r="E48" s="41">
        <f>ROUND((C46*2.6*12*4),2)</f>
        <v>6910.8</v>
      </c>
      <c r="F48" s="35"/>
      <c r="G48" s="36"/>
      <c r="H48" s="35" t="s">
        <v>34</v>
      </c>
      <c r="I48" s="58">
        <f>ROUND((I46*2.86*A48*4),2)</f>
        <v>7601.88</v>
      </c>
      <c r="J48" s="58" t="e">
        <f>ROUND((J46*2.86*B48*4),2)</f>
        <v>#VALUE!</v>
      </c>
    </row>
    <row r="49" spans="1:10" hidden="1">
      <c r="A49" s="36">
        <v>4</v>
      </c>
      <c r="B49" s="35" t="s">
        <v>35</v>
      </c>
      <c r="C49" s="35"/>
      <c r="D49" s="35"/>
      <c r="E49" s="41">
        <f>ROUND((C46*1.69*4*4),2)</f>
        <v>1497.34</v>
      </c>
      <c r="F49" s="35"/>
      <c r="G49" s="36"/>
      <c r="H49" s="35" t="s">
        <v>36</v>
      </c>
      <c r="I49" s="47">
        <f>ROUND((I46*1.859*A49*4),2)</f>
        <v>1647.07</v>
      </c>
      <c r="J49" s="47" t="e">
        <f>ROUND((J46*1.859*B49*4),2)</f>
        <v>#VALUE!</v>
      </c>
    </row>
    <row r="50" spans="1:10" hidden="1">
      <c r="A50" s="35"/>
      <c r="B50" s="35"/>
      <c r="C50" s="35"/>
      <c r="D50" s="35"/>
      <c r="E50" s="59">
        <f>SUM(E47:E49)</f>
        <v>90086.27</v>
      </c>
      <c r="F50" s="35"/>
      <c r="G50" s="36"/>
      <c r="H50" s="35"/>
      <c r="I50" s="58">
        <f>SUM(I47:I49)</f>
        <v>99094.890000000014</v>
      </c>
      <c r="J50" s="58" t="e">
        <f>SUM(J47:J49)</f>
        <v>#VALUE!</v>
      </c>
    </row>
    <row r="51" spans="1:10" hidden="1">
      <c r="A51" s="35"/>
      <c r="B51" s="35" t="s">
        <v>37</v>
      </c>
      <c r="C51" s="35"/>
      <c r="D51" s="35"/>
      <c r="E51" s="60">
        <v>12</v>
      </c>
      <c r="F51" s="35"/>
      <c r="G51" s="36"/>
      <c r="H51" s="35" t="s">
        <v>38</v>
      </c>
      <c r="I51" s="60">
        <v>12</v>
      </c>
      <c r="J51" s="60">
        <v>12</v>
      </c>
    </row>
    <row r="52" spans="1:10" ht="16.5" hidden="1" thickBot="1">
      <c r="A52" s="35"/>
      <c r="B52" s="35" t="s">
        <v>39</v>
      </c>
      <c r="C52" s="35"/>
      <c r="D52" s="35"/>
      <c r="E52" s="56">
        <f>E50/E51</f>
        <v>7507.189166666667</v>
      </c>
      <c r="F52" s="35"/>
      <c r="G52" s="36"/>
      <c r="H52" s="35" t="s">
        <v>40</v>
      </c>
      <c r="I52" s="61">
        <f>I50/I51</f>
        <v>8257.9075000000012</v>
      </c>
      <c r="J52" s="61" t="e">
        <f>J50/J51</f>
        <v>#VALUE!</v>
      </c>
    </row>
    <row r="53" spans="1:10" hidden="1">
      <c r="A53" s="35"/>
      <c r="B53" s="35"/>
      <c r="C53" s="35"/>
      <c r="D53" s="35"/>
      <c r="E53" s="35"/>
      <c r="F53" s="35"/>
      <c r="G53" s="36"/>
      <c r="H53" s="35"/>
      <c r="I53" s="35"/>
      <c r="J53" s="35"/>
    </row>
    <row r="54" spans="1:10" hidden="1">
      <c r="A54" s="35"/>
      <c r="B54" s="40" t="s">
        <v>41</v>
      </c>
      <c r="C54" s="35"/>
      <c r="D54" s="35"/>
      <c r="E54" s="43"/>
      <c r="F54" s="35"/>
      <c r="G54" s="36"/>
      <c r="H54" s="40"/>
      <c r="I54" s="35"/>
      <c r="J54" s="35"/>
    </row>
    <row r="55" spans="1:10" ht="15" hidden="1" customHeight="1">
      <c r="A55" s="35"/>
      <c r="B55" s="35" t="s">
        <v>42</v>
      </c>
      <c r="C55" s="35"/>
      <c r="D55" s="35"/>
      <c r="E55" s="35"/>
      <c r="F55" s="35"/>
      <c r="G55" s="36"/>
      <c r="H55" s="35"/>
      <c r="I55" s="35"/>
      <c r="J55" s="35"/>
    </row>
    <row r="56" spans="1:10" hidden="1">
      <c r="A56" s="35"/>
      <c r="B56" s="35" t="s">
        <v>43</v>
      </c>
      <c r="C56" s="35"/>
      <c r="D56" s="35"/>
      <c r="E56" s="35"/>
      <c r="F56" s="35"/>
      <c r="G56" s="36"/>
      <c r="H56" s="35"/>
      <c r="I56" s="35"/>
      <c r="J56" s="35"/>
    </row>
    <row r="57" spans="1:10" hidden="1">
      <c r="A57" s="35"/>
      <c r="B57" s="35"/>
      <c r="C57" s="35"/>
      <c r="D57" s="35"/>
      <c r="E57" s="35"/>
      <c r="F57" s="35"/>
      <c r="G57" s="36"/>
      <c r="H57" s="35"/>
      <c r="I57" s="35"/>
      <c r="J57" s="35"/>
    </row>
    <row r="58" spans="1:10" hidden="1">
      <c r="A58" s="35"/>
      <c r="B58" s="35"/>
      <c r="C58" s="35"/>
      <c r="D58" s="35"/>
      <c r="E58" s="35"/>
      <c r="F58" s="35"/>
      <c r="G58" s="36"/>
      <c r="H58" s="35"/>
      <c r="I58" s="35"/>
      <c r="J58" s="35"/>
    </row>
    <row r="59" spans="1:10" ht="18" hidden="1" customHeight="1" thickBot="1">
      <c r="A59" s="35"/>
      <c r="B59" s="35" t="s">
        <v>44</v>
      </c>
      <c r="C59" s="35"/>
      <c r="D59" s="35"/>
      <c r="E59" s="62">
        <f>E21-E17</f>
        <v>11839.503333333334</v>
      </c>
      <c r="F59" s="62">
        <f>F21-F17</f>
        <v>12224.667333333335</v>
      </c>
      <c r="G59" s="63"/>
      <c r="H59" s="68">
        <f>H21-H17</f>
        <v>19346.692500000001</v>
      </c>
      <c r="I59" s="68">
        <f>I21-I17</f>
        <v>20675.156833333331</v>
      </c>
      <c r="J59" s="68">
        <f>J21-J17</f>
        <v>20675.156833333331</v>
      </c>
    </row>
    <row r="60" spans="1:10" hidden="1">
      <c r="A60" s="35"/>
      <c r="B60" s="35"/>
      <c r="C60" s="35"/>
      <c r="D60" s="35"/>
      <c r="E60" s="35"/>
      <c r="F60" s="35"/>
      <c r="G60" s="36"/>
      <c r="H60" s="35"/>
      <c r="I60" s="35"/>
      <c r="J60" s="35"/>
    </row>
    <row r="61" spans="1:10">
      <c r="A61" s="35" t="s">
        <v>99</v>
      </c>
      <c r="B61" s="35"/>
      <c r="C61" s="35"/>
      <c r="D61" s="36"/>
      <c r="E61" s="35"/>
      <c r="F61" s="35"/>
      <c r="G61" s="36"/>
      <c r="H61" s="35"/>
      <c r="I61" s="35"/>
      <c r="J61" s="35"/>
    </row>
    <row r="62" spans="1:10">
      <c r="A62" s="35"/>
      <c r="B62" s="35"/>
      <c r="C62" s="35"/>
      <c r="D62" s="36"/>
      <c r="E62" s="35"/>
      <c r="F62" s="35"/>
      <c r="G62" s="36"/>
      <c r="H62" s="35"/>
      <c r="I62" s="35"/>
      <c r="J62" s="35"/>
    </row>
    <row r="63" spans="1:10">
      <c r="A63" s="35" t="s">
        <v>109</v>
      </c>
      <c r="B63" s="35"/>
      <c r="C63" s="35"/>
      <c r="D63" s="36"/>
      <c r="E63" s="35"/>
      <c r="F63" s="35"/>
      <c r="G63" s="36"/>
      <c r="H63" s="36">
        <v>1</v>
      </c>
      <c r="I63" s="36">
        <v>1</v>
      </c>
      <c r="J63" s="36">
        <v>1</v>
      </c>
    </row>
    <row r="64" spans="1:10">
      <c r="A64" s="35"/>
      <c r="B64" s="35"/>
      <c r="C64" s="35"/>
      <c r="D64" s="36"/>
      <c r="E64" s="35"/>
      <c r="F64" s="35"/>
      <c r="G64" s="36"/>
      <c r="H64" s="35"/>
      <c r="I64" s="35"/>
      <c r="J64" s="35"/>
    </row>
    <row r="65" spans="1:11">
      <c r="A65" s="35" t="s">
        <v>110</v>
      </c>
      <c r="B65" s="35"/>
      <c r="C65" s="35"/>
      <c r="D65" s="36"/>
      <c r="E65" s="35"/>
      <c r="F65" s="35"/>
      <c r="G65" s="36"/>
      <c r="H65" s="64">
        <f>H40*H63</f>
        <v>23347.6875</v>
      </c>
      <c r="I65" s="64">
        <f>I40*I63</f>
        <v>24761.15183333333</v>
      </c>
      <c r="J65" s="64">
        <f>J40*J63</f>
        <v>24761.15183333333</v>
      </c>
      <c r="K65" s="1" t="s">
        <v>87</v>
      </c>
    </row>
    <row r="66" spans="1:11">
      <c r="A66" s="35"/>
      <c r="B66" s="35"/>
      <c r="C66" s="35"/>
      <c r="D66" s="36"/>
      <c r="E66" s="35"/>
      <c r="F66" s="35"/>
      <c r="G66" s="36"/>
      <c r="H66" s="35"/>
      <c r="I66" s="35"/>
      <c r="J66" s="35"/>
    </row>
    <row r="67" spans="1:11" ht="15.95" customHeight="1" thickBot="1">
      <c r="A67" s="65" t="s">
        <v>121</v>
      </c>
      <c r="B67" s="65"/>
      <c r="C67" s="65"/>
      <c r="D67" s="36"/>
      <c r="E67" s="35"/>
      <c r="F67" s="35"/>
      <c r="G67" s="36"/>
      <c r="H67" s="66">
        <f>H65*12</f>
        <v>280172.25</v>
      </c>
      <c r="I67" s="66">
        <f>I65*12</f>
        <v>297133.82199999993</v>
      </c>
      <c r="J67" s="66">
        <f>J65*12</f>
        <v>297133.82199999993</v>
      </c>
    </row>
    <row r="68" spans="1:11" ht="16.5" thickTop="1"/>
    <row r="69" spans="1:11">
      <c r="H69" s="1" t="s">
        <v>48</v>
      </c>
    </row>
  </sheetData>
  <sheetProtection algorithmName="SHA-512" hashValue="lWuUE53N47L7nzOq+zzLfguma7P7ix8qi3cICK6CgVhqIeY1suHOMobVYl2+yR+t+ClsaagQPs60hFr2+QH9Fw==" saltValue="7wgI/X9uX9BY/slz5mEE3A==" spinCount="100000" sheet="1" objects="1" scenarios="1"/>
  <mergeCells count="7">
    <mergeCell ref="A67:C67"/>
    <mergeCell ref="A2:I2"/>
    <mergeCell ref="A3:I3"/>
    <mergeCell ref="A4:I4"/>
    <mergeCell ref="E6:F6"/>
    <mergeCell ref="H6:I6"/>
    <mergeCell ref="A36:B36"/>
  </mergeCells>
  <pageMargins left="0.70866141732283505" right="0.70866141732283505" top="0.74803149606299202" bottom="0.74803149606299202" header="0.31496062992126" footer="0.31496062992126"/>
  <pageSetup paperSize="124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30F1C-BF73-4104-9677-E8320EA8E708}">
  <dimension ref="A1:K70"/>
  <sheetViews>
    <sheetView zoomScale="82" zoomScaleNormal="82" workbookViewId="0">
      <selection activeCell="C38" sqref="C38"/>
    </sheetView>
  </sheetViews>
  <sheetFormatPr defaultColWidth="9.140625" defaultRowHeight="15.75"/>
  <cols>
    <col min="1" max="1" width="4.5703125" style="1" customWidth="1"/>
    <col min="2" max="2" width="53.5703125" style="1" customWidth="1"/>
    <col min="3" max="3" width="7.5703125" style="1" customWidth="1"/>
    <col min="4" max="4" width="3.42578125" style="14" customWidth="1"/>
    <col min="5" max="5" width="18.140625" style="1" customWidth="1"/>
    <col min="6" max="6" width="18" style="1" customWidth="1"/>
    <col min="7" max="7" width="2.5703125" style="14" hidden="1" customWidth="1"/>
    <col min="8" max="8" width="20.42578125" style="1" hidden="1" customWidth="1"/>
    <col min="9" max="9" width="18.42578125" style="1" hidden="1" customWidth="1"/>
    <col min="10" max="10" width="0" style="1" hidden="1" customWidth="1"/>
    <col min="11" max="11" width="18" style="1" customWidth="1"/>
    <col min="12" max="16384" width="9.140625" style="1"/>
  </cols>
  <sheetData>
    <row r="1" spans="1:11">
      <c r="A1" s="35"/>
      <c r="B1" s="35"/>
      <c r="C1" s="35"/>
      <c r="D1" s="36"/>
      <c r="E1" s="35"/>
      <c r="F1" s="35"/>
      <c r="G1" s="36"/>
      <c r="H1" s="35"/>
      <c r="I1" s="35"/>
      <c r="J1" s="35"/>
      <c r="K1" s="35"/>
    </row>
    <row r="2" spans="1:11">
      <c r="A2" s="37" t="s">
        <v>91</v>
      </c>
      <c r="B2" s="37"/>
      <c r="C2" s="37"/>
      <c r="D2" s="37"/>
      <c r="E2" s="37"/>
      <c r="F2" s="37"/>
      <c r="G2" s="37"/>
      <c r="H2" s="37"/>
      <c r="I2" s="37"/>
      <c r="J2" s="35"/>
      <c r="K2" s="35"/>
    </row>
    <row r="3" spans="1:11">
      <c r="A3" s="38" t="s">
        <v>92</v>
      </c>
      <c r="B3" s="38"/>
      <c r="C3" s="38"/>
      <c r="D3" s="38"/>
      <c r="E3" s="38"/>
      <c r="F3" s="38"/>
      <c r="G3" s="38"/>
      <c r="H3" s="38"/>
      <c r="I3" s="38"/>
      <c r="J3" s="35"/>
      <c r="K3" s="35"/>
    </row>
    <row r="4" spans="1:11">
      <c r="A4" s="38" t="s">
        <v>93</v>
      </c>
      <c r="B4" s="38"/>
      <c r="C4" s="38"/>
      <c r="D4" s="38"/>
      <c r="E4" s="38"/>
      <c r="F4" s="38"/>
      <c r="G4" s="38"/>
      <c r="H4" s="38"/>
      <c r="I4" s="38"/>
      <c r="J4" s="35"/>
      <c r="K4" s="35"/>
    </row>
    <row r="5" spans="1:11">
      <c r="A5" s="35"/>
      <c r="B5" s="35"/>
      <c r="C5" s="35"/>
      <c r="D5" s="36"/>
      <c r="E5" s="35"/>
      <c r="F5" s="35"/>
      <c r="G5" s="36"/>
      <c r="H5" s="35" t="s">
        <v>48</v>
      </c>
      <c r="I5" s="35"/>
      <c r="J5" s="35"/>
      <c r="K5" s="35"/>
    </row>
    <row r="6" spans="1:11">
      <c r="A6" s="35"/>
      <c r="B6" s="35"/>
      <c r="C6" s="35"/>
      <c r="D6" s="36"/>
      <c r="E6" s="35"/>
      <c r="F6" s="35"/>
      <c r="G6" s="36"/>
      <c r="H6" s="35"/>
      <c r="I6" s="35"/>
      <c r="J6" s="35"/>
      <c r="K6" s="35"/>
    </row>
    <row r="7" spans="1:11">
      <c r="A7" s="35"/>
      <c r="B7" s="35"/>
      <c r="C7" s="35"/>
      <c r="D7" s="36"/>
      <c r="E7" s="35"/>
      <c r="F7" s="35"/>
      <c r="G7" s="36"/>
      <c r="H7" s="35" t="s">
        <v>48</v>
      </c>
      <c r="I7" s="35"/>
      <c r="J7" s="35"/>
      <c r="K7" s="35"/>
    </row>
    <row r="8" spans="1:11" ht="18" customHeight="1">
      <c r="A8" s="35"/>
      <c r="B8" s="35"/>
      <c r="C8" s="35"/>
      <c r="D8" s="36"/>
      <c r="E8" s="37" t="s">
        <v>94</v>
      </c>
      <c r="F8" s="37"/>
      <c r="G8" s="35"/>
      <c r="H8" s="37" t="s">
        <v>95</v>
      </c>
      <c r="I8" s="37"/>
      <c r="J8" s="35"/>
      <c r="K8" s="35"/>
    </row>
    <row r="9" spans="1:11" ht="18" customHeight="1">
      <c r="A9" s="35" t="s">
        <v>0</v>
      </c>
      <c r="B9" s="35"/>
      <c r="C9" s="35"/>
      <c r="D9" s="36"/>
      <c r="E9" s="36" t="s">
        <v>1</v>
      </c>
      <c r="F9" s="36" t="s">
        <v>1</v>
      </c>
      <c r="G9" s="36"/>
      <c r="H9" s="36" t="s">
        <v>1</v>
      </c>
      <c r="I9" s="36" t="s">
        <v>1</v>
      </c>
      <c r="J9" s="35"/>
      <c r="K9" s="36" t="s">
        <v>1</v>
      </c>
    </row>
    <row r="10" spans="1:11" ht="18" customHeight="1">
      <c r="A10" s="35" t="s">
        <v>2</v>
      </c>
      <c r="B10" s="35"/>
      <c r="C10" s="35"/>
      <c r="D10" s="36"/>
      <c r="E10" s="36">
        <v>313</v>
      </c>
      <c r="F10" s="36">
        <v>313</v>
      </c>
      <c r="G10" s="36"/>
      <c r="H10" s="36">
        <v>313</v>
      </c>
      <c r="I10" s="36">
        <v>313</v>
      </c>
      <c r="J10" s="35"/>
      <c r="K10" s="36">
        <v>313</v>
      </c>
    </row>
    <row r="11" spans="1:11" ht="18" customHeight="1">
      <c r="A11" s="35"/>
      <c r="B11" s="35"/>
      <c r="C11" s="35"/>
      <c r="D11" s="36"/>
      <c r="E11" s="36" t="s">
        <v>3</v>
      </c>
      <c r="F11" s="36" t="s">
        <v>3</v>
      </c>
      <c r="G11" s="36"/>
      <c r="H11" s="36" t="s">
        <v>4</v>
      </c>
      <c r="I11" s="36" t="s">
        <v>4</v>
      </c>
      <c r="J11" s="35"/>
      <c r="K11" s="36" t="s">
        <v>3</v>
      </c>
    </row>
    <row r="12" spans="1:11" ht="18" customHeight="1">
      <c r="A12" s="35"/>
      <c r="B12" s="35"/>
      <c r="C12" s="35"/>
      <c r="D12" s="36"/>
      <c r="E12" s="36" t="s">
        <v>5</v>
      </c>
      <c r="F12" s="36" t="s">
        <v>6</v>
      </c>
      <c r="G12" s="36"/>
      <c r="H12" s="36" t="s">
        <v>5</v>
      </c>
      <c r="I12" s="36" t="s">
        <v>6</v>
      </c>
      <c r="J12" s="35"/>
      <c r="K12" s="36" t="s">
        <v>112</v>
      </c>
    </row>
    <row r="13" spans="1:11" ht="18" customHeight="1">
      <c r="A13" s="35"/>
      <c r="B13" s="35"/>
      <c r="C13" s="35"/>
      <c r="D13" s="36"/>
      <c r="E13" s="35"/>
      <c r="F13" s="35"/>
      <c r="G13" s="36"/>
      <c r="H13" s="35"/>
      <c r="I13" s="35"/>
      <c r="J13" s="35"/>
      <c r="K13" s="35"/>
    </row>
    <row r="14" spans="1:11" ht="18" customHeight="1">
      <c r="A14" s="40" t="s">
        <v>7</v>
      </c>
      <c r="B14" s="35"/>
      <c r="C14" s="35"/>
      <c r="D14" s="36"/>
      <c r="E14" s="35"/>
      <c r="F14" s="35"/>
      <c r="G14" s="36"/>
      <c r="H14" s="35"/>
      <c r="I14" s="35"/>
      <c r="J14" s="35"/>
      <c r="K14" s="35"/>
    </row>
    <row r="15" spans="1:11" ht="18" customHeight="1">
      <c r="A15" s="35" t="s">
        <v>8</v>
      </c>
      <c r="B15" s="35"/>
      <c r="C15" s="35"/>
      <c r="D15" s="36" t="s">
        <v>9</v>
      </c>
      <c r="E15" s="41">
        <v>350</v>
      </c>
      <c r="F15" s="41">
        <v>350</v>
      </c>
      <c r="G15" s="36" t="s">
        <v>9</v>
      </c>
      <c r="H15" s="41">
        <v>350</v>
      </c>
      <c r="I15" s="41">
        <v>350</v>
      </c>
      <c r="J15" s="35"/>
      <c r="K15" s="41">
        <v>350</v>
      </c>
    </row>
    <row r="16" spans="1:11" ht="18" customHeight="1">
      <c r="A16" s="35"/>
      <c r="B16" s="35"/>
      <c r="C16" s="35"/>
      <c r="D16" s="36"/>
      <c r="E16" s="35"/>
      <c r="F16" s="35"/>
      <c r="G16" s="36"/>
      <c r="H16" s="35"/>
      <c r="I16" s="35"/>
      <c r="J16" s="35"/>
      <c r="K16" s="35"/>
    </row>
    <row r="17" spans="1:11">
      <c r="A17" s="35" t="s">
        <v>10</v>
      </c>
      <c r="B17" s="35"/>
      <c r="C17" s="35"/>
      <c r="D17" s="36"/>
      <c r="E17" s="41">
        <f>ROUND((E15*E10/12),2)</f>
        <v>9129.17</v>
      </c>
      <c r="F17" s="41">
        <f>ROUND((F15*F10/12),2)</f>
        <v>9129.17</v>
      </c>
      <c r="G17" s="42"/>
      <c r="H17" s="41">
        <f>ROUND((H15*H10/12),2)</f>
        <v>9129.17</v>
      </c>
      <c r="I17" s="41">
        <f>ROUND((I15*I10/12),2)</f>
        <v>9129.17</v>
      </c>
      <c r="J17" s="35"/>
      <c r="K17" s="41">
        <f>ROUND((K15*K10/12),2)</f>
        <v>9129.17</v>
      </c>
    </row>
    <row r="18" spans="1:11" ht="19.5" customHeight="1">
      <c r="A18" s="35" t="s">
        <v>11</v>
      </c>
      <c r="B18" s="35"/>
      <c r="C18" s="35"/>
      <c r="D18" s="36"/>
      <c r="E18" s="41">
        <v>0</v>
      </c>
      <c r="F18" s="41">
        <f>F17*10%*1/3</f>
        <v>304.3056666666667</v>
      </c>
      <c r="G18" s="42"/>
      <c r="H18" s="41">
        <v>0</v>
      </c>
      <c r="I18" s="41">
        <f>+I17*10%*1/2</f>
        <v>456.45850000000002</v>
      </c>
      <c r="J18" s="35"/>
      <c r="K18" s="41">
        <f>K17*10%*1/3</f>
        <v>304.3056666666667</v>
      </c>
    </row>
    <row r="19" spans="1:11" ht="18" customHeight="1">
      <c r="A19" s="35" t="s">
        <v>12</v>
      </c>
      <c r="B19" s="35"/>
      <c r="C19" s="35"/>
      <c r="D19" s="36"/>
      <c r="E19" s="41">
        <f>ROUND((E15*365/12/12),2)</f>
        <v>887.15</v>
      </c>
      <c r="F19" s="41">
        <f>ROUND((F15*365/12/12),2)</f>
        <v>887.15</v>
      </c>
      <c r="G19" s="42"/>
      <c r="H19" s="41">
        <f>ROUND((H15*365/12/12),2)</f>
        <v>887.15</v>
      </c>
      <c r="I19" s="41">
        <f>ROUND((I15*365/12/12),2)</f>
        <v>887.15</v>
      </c>
      <c r="J19" s="35"/>
      <c r="K19" s="41">
        <f>ROUND((K15*365/12/12),2)</f>
        <v>887.15</v>
      </c>
    </row>
    <row r="20" spans="1:11" ht="18" customHeight="1">
      <c r="A20" s="35" t="s">
        <v>13</v>
      </c>
      <c r="B20" s="35"/>
      <c r="C20" s="35"/>
      <c r="D20" s="36"/>
      <c r="E20" s="41">
        <f>+E15*(5/12)</f>
        <v>145.83333333333334</v>
      </c>
      <c r="F20" s="41">
        <f>+F15*(5/12)</f>
        <v>145.83333333333334</v>
      </c>
      <c r="G20" s="42"/>
      <c r="H20" s="43">
        <f>H15*(5/12)</f>
        <v>145.83333333333334</v>
      </c>
      <c r="I20" s="43">
        <f>I15*(5/12)</f>
        <v>145.83333333333334</v>
      </c>
      <c r="J20" s="35"/>
      <c r="K20" s="41">
        <f>+K15*(5/12)</f>
        <v>145.83333333333334</v>
      </c>
    </row>
    <row r="21" spans="1:11" ht="18" customHeight="1">
      <c r="A21" s="35" t="s">
        <v>14</v>
      </c>
      <c r="B21" s="35"/>
      <c r="C21" s="35"/>
      <c r="D21" s="36"/>
      <c r="E21" s="41">
        <v>100</v>
      </c>
      <c r="F21" s="41">
        <v>100</v>
      </c>
      <c r="G21" s="42"/>
      <c r="H21" s="44">
        <v>100</v>
      </c>
      <c r="I21" s="41">
        <v>100</v>
      </c>
      <c r="J21" s="35"/>
      <c r="K21" s="41">
        <v>100</v>
      </c>
    </row>
    <row r="22" spans="1:11" ht="21" customHeight="1">
      <c r="A22" s="35" t="s">
        <v>15</v>
      </c>
      <c r="B22" s="35"/>
      <c r="C22" s="35"/>
      <c r="D22" s="36"/>
      <c r="E22" s="45">
        <v>0</v>
      </c>
      <c r="F22" s="45">
        <f>0*377/12</f>
        <v>0</v>
      </c>
      <c r="G22" s="46"/>
      <c r="H22" s="47">
        <f>+E54</f>
        <v>5931.1875</v>
      </c>
      <c r="I22" s="47">
        <f>+I54</f>
        <v>6524.3066666666673</v>
      </c>
      <c r="J22" s="35"/>
      <c r="K22" s="45">
        <f>0*377/12</f>
        <v>0</v>
      </c>
    </row>
    <row r="23" spans="1:11" ht="18" customHeight="1">
      <c r="A23" s="35"/>
      <c r="B23" s="35"/>
      <c r="C23" s="35"/>
      <c r="D23" s="36"/>
      <c r="E23" s="43">
        <f>SUM(E17:E22)</f>
        <v>10262.153333333334</v>
      </c>
      <c r="F23" s="43">
        <f t="shared" ref="F23:I23" si="0">SUM(F17:F22)</f>
        <v>10566.459000000001</v>
      </c>
      <c r="G23" s="43">
        <f t="shared" si="0"/>
        <v>0</v>
      </c>
      <c r="H23" s="43">
        <f t="shared" si="0"/>
        <v>16193.340833333334</v>
      </c>
      <c r="I23" s="43">
        <f t="shared" si="0"/>
        <v>17242.9185</v>
      </c>
      <c r="J23" s="35"/>
      <c r="K23" s="43">
        <f t="shared" ref="K23" si="1">SUM(K17:K22)</f>
        <v>10566.459000000001</v>
      </c>
    </row>
    <row r="24" spans="1:11" ht="18" customHeight="1">
      <c r="A24" s="35"/>
      <c r="B24" s="35"/>
      <c r="C24" s="35"/>
      <c r="D24" s="36"/>
      <c r="E24" s="43"/>
      <c r="F24" s="35"/>
      <c r="G24" s="36"/>
      <c r="H24" s="43"/>
      <c r="I24" s="43"/>
      <c r="J24" s="35"/>
      <c r="K24" s="35"/>
    </row>
    <row r="25" spans="1:11" ht="18" customHeight="1">
      <c r="A25" s="40" t="s">
        <v>16</v>
      </c>
      <c r="B25" s="35"/>
      <c r="C25" s="35"/>
      <c r="D25" s="36"/>
      <c r="E25" s="43"/>
      <c r="F25" s="43"/>
      <c r="G25" s="43"/>
      <c r="H25" s="43"/>
      <c r="I25" s="43"/>
      <c r="J25" s="35"/>
      <c r="K25" s="43"/>
    </row>
    <row r="26" spans="1:11" ht="18" customHeight="1">
      <c r="A26" s="35" t="s">
        <v>49</v>
      </c>
      <c r="B26" s="35"/>
      <c r="C26" s="35"/>
      <c r="D26" s="36" t="s">
        <v>9</v>
      </c>
      <c r="E26" s="49">
        <f>+E15*22.5/12</f>
        <v>656.25</v>
      </c>
      <c r="F26" s="49">
        <f>+F15*22.5/12</f>
        <v>656.25</v>
      </c>
      <c r="G26" s="36" t="s">
        <v>9</v>
      </c>
      <c r="H26" s="41">
        <f>+H15*22.5/12</f>
        <v>656.25</v>
      </c>
      <c r="I26" s="41">
        <f>+I15*22.5/12</f>
        <v>656.25</v>
      </c>
      <c r="J26" s="35"/>
      <c r="K26" s="49">
        <f>+K15*22.5/12</f>
        <v>656.25</v>
      </c>
    </row>
    <row r="27" spans="1:11" ht="18" customHeight="1">
      <c r="A27" s="35" t="s">
        <v>18</v>
      </c>
      <c r="B27" s="35"/>
      <c r="C27" s="35"/>
      <c r="D27" s="36"/>
      <c r="E27" s="49">
        <v>807.5</v>
      </c>
      <c r="F27" s="49">
        <v>807.5</v>
      </c>
      <c r="G27" s="42"/>
      <c r="H27" s="49">
        <v>1317.5</v>
      </c>
      <c r="I27" s="49">
        <v>1402.5</v>
      </c>
      <c r="J27" s="35"/>
      <c r="K27" s="49">
        <v>807.5</v>
      </c>
    </row>
    <row r="28" spans="1:11" ht="18" customHeight="1">
      <c r="A28" s="35" t="s">
        <v>19</v>
      </c>
      <c r="B28" s="35"/>
      <c r="C28" s="35"/>
      <c r="D28" s="36"/>
      <c r="E28" s="49">
        <v>0</v>
      </c>
      <c r="F28" s="49">
        <v>0</v>
      </c>
      <c r="G28" s="42"/>
      <c r="H28" s="49">
        <v>0</v>
      </c>
      <c r="I28" s="49">
        <v>0</v>
      </c>
      <c r="J28" s="35"/>
      <c r="K28" s="49">
        <v>0</v>
      </c>
    </row>
    <row r="29" spans="1:11" ht="18" customHeight="1">
      <c r="A29" s="35" t="s">
        <v>50</v>
      </c>
      <c r="B29" s="35"/>
      <c r="C29" s="35"/>
      <c r="D29" s="36"/>
      <c r="E29" s="49">
        <f>(E17*0.045)/2</f>
        <v>205.40632499999998</v>
      </c>
      <c r="F29" s="49">
        <f>(F17*0.045)/2</f>
        <v>205.40632499999998</v>
      </c>
      <c r="G29" s="42"/>
      <c r="H29" s="41">
        <f>ROUND((H17*0.045/2),2)</f>
        <v>205.41</v>
      </c>
      <c r="I29" s="41">
        <f>ROUND((I17*0.045/2),2)</f>
        <v>205.41</v>
      </c>
      <c r="J29" s="35"/>
      <c r="K29" s="49">
        <f>(K17*0.045)/2</f>
        <v>205.40632499999998</v>
      </c>
    </row>
    <row r="30" spans="1:11" ht="18" customHeight="1">
      <c r="A30" s="35" t="s">
        <v>21</v>
      </c>
      <c r="B30" s="35"/>
      <c r="C30" s="35"/>
      <c r="D30" s="36"/>
      <c r="E30" s="49">
        <v>10</v>
      </c>
      <c r="F30" s="49">
        <v>10</v>
      </c>
      <c r="G30" s="42"/>
      <c r="H30" s="41">
        <v>30</v>
      </c>
      <c r="I30" s="41">
        <v>30</v>
      </c>
      <c r="J30" s="35"/>
      <c r="K30" s="49">
        <v>10</v>
      </c>
    </row>
    <row r="31" spans="1:11" ht="18" customHeight="1">
      <c r="A31" s="35" t="s">
        <v>22</v>
      </c>
      <c r="B31" s="35"/>
      <c r="C31" s="35"/>
      <c r="D31" s="36"/>
      <c r="E31" s="50">
        <v>100</v>
      </c>
      <c r="F31" s="50">
        <v>100</v>
      </c>
      <c r="G31" s="46"/>
      <c r="H31" s="45">
        <v>100</v>
      </c>
      <c r="I31" s="45">
        <v>100</v>
      </c>
      <c r="J31" s="35"/>
      <c r="K31" s="50">
        <v>100</v>
      </c>
    </row>
    <row r="32" spans="1:11" ht="18" customHeight="1">
      <c r="A32" s="35"/>
      <c r="B32" s="35"/>
      <c r="C32" s="35"/>
      <c r="D32" s="36"/>
      <c r="E32" s="51">
        <f>SUM(E26:E31)</f>
        <v>1779.1563249999999</v>
      </c>
      <c r="F32" s="51">
        <f>SUM(F26:F31)</f>
        <v>1779.1563249999999</v>
      </c>
      <c r="G32" s="48"/>
      <c r="H32" s="43">
        <f>SUM(H26:H31)</f>
        <v>2309.16</v>
      </c>
      <c r="I32" s="43">
        <f>SUM(I26:I31)</f>
        <v>2394.16</v>
      </c>
      <c r="J32" s="35"/>
      <c r="K32" s="51">
        <f>SUM(K26:K31)</f>
        <v>1779.1563249999999</v>
      </c>
    </row>
    <row r="33" spans="1:11" ht="18" customHeight="1">
      <c r="A33" s="35"/>
      <c r="B33" s="35"/>
      <c r="C33" s="35"/>
      <c r="D33" s="36"/>
      <c r="E33" s="35"/>
      <c r="F33" s="35"/>
      <c r="G33" s="36"/>
      <c r="H33" s="35"/>
      <c r="I33" s="35"/>
      <c r="J33" s="35"/>
      <c r="K33" s="35"/>
    </row>
    <row r="34" spans="1:11" ht="18" customHeight="1">
      <c r="A34" s="35"/>
      <c r="B34" s="35"/>
      <c r="C34" s="35"/>
      <c r="D34" s="36"/>
      <c r="E34" s="40"/>
      <c r="F34" s="40"/>
      <c r="G34" s="39"/>
      <c r="H34" s="35"/>
      <c r="I34" s="35"/>
      <c r="J34" s="35"/>
      <c r="K34" s="40"/>
    </row>
    <row r="35" spans="1:11" ht="18" customHeight="1">
      <c r="A35" s="40" t="s">
        <v>23</v>
      </c>
      <c r="B35" s="35"/>
      <c r="C35" s="35"/>
      <c r="D35" s="36" t="s">
        <v>9</v>
      </c>
      <c r="E35" s="52">
        <f>+E23+E32</f>
        <v>12041.309658333334</v>
      </c>
      <c r="F35" s="52">
        <f>+F23+F32</f>
        <v>12345.615325000001</v>
      </c>
      <c r="G35" s="36" t="s">
        <v>9</v>
      </c>
      <c r="H35" s="52">
        <f>+H32+H23</f>
        <v>18502.500833333332</v>
      </c>
      <c r="I35" s="52">
        <f>+I32+I23</f>
        <v>19637.0785</v>
      </c>
      <c r="J35" s="35"/>
      <c r="K35" s="52">
        <f>+K23+K32</f>
        <v>12345.615325000001</v>
      </c>
    </row>
    <row r="36" spans="1:11" ht="18" customHeight="1">
      <c r="A36" s="35"/>
      <c r="B36" s="35"/>
      <c r="C36" s="35"/>
      <c r="D36" s="36"/>
      <c r="E36" s="35"/>
      <c r="F36" s="35"/>
      <c r="G36" s="36"/>
      <c r="H36" s="35"/>
      <c r="I36" s="35"/>
      <c r="J36" s="35"/>
      <c r="K36" s="35"/>
    </row>
    <row r="37" spans="1:11" ht="18" customHeight="1">
      <c r="A37" s="40" t="s">
        <v>24</v>
      </c>
      <c r="B37" s="35"/>
      <c r="C37" s="35"/>
      <c r="D37" s="36"/>
      <c r="E37" s="35"/>
      <c r="F37" s="35"/>
      <c r="G37" s="36"/>
      <c r="H37" s="35"/>
      <c r="I37" s="35"/>
      <c r="J37" s="35"/>
      <c r="K37" s="35"/>
    </row>
    <row r="38" spans="1:11" ht="15.75" customHeight="1">
      <c r="A38" s="53" t="s">
        <v>25</v>
      </c>
      <c r="B38" s="53"/>
      <c r="C38" s="34"/>
      <c r="D38" s="36"/>
      <c r="E38" s="54">
        <f>E35*C38</f>
        <v>0</v>
      </c>
      <c r="F38" s="54">
        <f>F35*C38</f>
        <v>0</v>
      </c>
      <c r="G38" s="55"/>
      <c r="H38" s="52">
        <f>H35*0.24</f>
        <v>4440.6001999999999</v>
      </c>
      <c r="I38" s="52">
        <f>I35*0.24</f>
        <v>4712.8988399999998</v>
      </c>
      <c r="J38" s="35"/>
      <c r="K38" s="54">
        <f>K35*C38</f>
        <v>0</v>
      </c>
    </row>
    <row r="39" spans="1:11" ht="18" customHeight="1">
      <c r="A39" s="35"/>
      <c r="B39" s="35"/>
      <c r="C39" s="35"/>
      <c r="D39" s="36"/>
      <c r="E39" s="40"/>
      <c r="F39" s="40"/>
      <c r="G39" s="39"/>
      <c r="H39" s="40"/>
      <c r="I39" s="40"/>
      <c r="J39" s="35"/>
      <c r="K39" s="40"/>
    </row>
    <row r="40" spans="1:11" ht="18" customHeight="1">
      <c r="A40" s="40" t="s">
        <v>26</v>
      </c>
      <c r="B40" s="35"/>
      <c r="C40" s="35"/>
      <c r="D40" s="36"/>
      <c r="E40" s="54">
        <f>+E38*0.12</f>
        <v>0</v>
      </c>
      <c r="F40" s="54">
        <f>+F38*0.12</f>
        <v>0</v>
      </c>
      <c r="G40" s="55"/>
      <c r="H40" s="54">
        <f>+H38*0.12</f>
        <v>532.87202400000001</v>
      </c>
      <c r="I40" s="54">
        <f>+I38*0.12</f>
        <v>565.54786079999997</v>
      </c>
      <c r="J40" s="35"/>
      <c r="K40" s="54">
        <f>+K38*0.12</f>
        <v>0</v>
      </c>
    </row>
    <row r="41" spans="1:11" ht="18" customHeight="1">
      <c r="A41" s="35"/>
      <c r="B41" s="35"/>
      <c r="C41" s="35"/>
      <c r="D41" s="36"/>
      <c r="E41" s="35"/>
      <c r="F41" s="35"/>
      <c r="G41" s="36"/>
      <c r="H41" s="35"/>
      <c r="I41" s="35"/>
      <c r="J41" s="35"/>
      <c r="K41" s="35"/>
    </row>
    <row r="42" spans="1:11" ht="18" customHeight="1" thickBot="1">
      <c r="A42" s="40" t="s">
        <v>27</v>
      </c>
      <c r="B42" s="35"/>
      <c r="C42" s="35"/>
      <c r="D42" s="36" t="s">
        <v>9</v>
      </c>
      <c r="E42" s="56">
        <f>+E35+E38+E40</f>
        <v>12041.309658333334</v>
      </c>
      <c r="F42" s="56">
        <f>+F35+F38+F40</f>
        <v>12345.615325000001</v>
      </c>
      <c r="G42" s="36" t="s">
        <v>9</v>
      </c>
      <c r="H42" s="57">
        <f>H35+H38+H40</f>
        <v>23475.973057333333</v>
      </c>
      <c r="I42" s="57">
        <f>I35+I38+I40</f>
        <v>24915.525200799999</v>
      </c>
      <c r="J42" s="35"/>
      <c r="K42" s="56">
        <f>+K35+K38+K40</f>
        <v>12345.615325000001</v>
      </c>
    </row>
    <row r="43" spans="1:11" ht="18" customHeight="1" thickTop="1">
      <c r="A43" s="35"/>
      <c r="B43" s="35"/>
      <c r="C43" s="35"/>
      <c r="D43" s="36"/>
      <c r="E43" s="35"/>
      <c r="F43" s="35"/>
      <c r="G43" s="36"/>
      <c r="H43" s="35"/>
      <c r="I43" s="35"/>
      <c r="J43" s="35"/>
      <c r="K43" s="35"/>
    </row>
    <row r="44" spans="1:11" ht="18" hidden="1" customHeight="1">
      <c r="A44" s="35"/>
      <c r="B44" s="35"/>
      <c r="C44" s="35"/>
      <c r="D44" s="36"/>
      <c r="E44" s="35"/>
      <c r="F44" s="35"/>
      <c r="G44" s="36"/>
      <c r="H44" s="35"/>
      <c r="I44" s="35"/>
      <c r="J44" s="35"/>
      <c r="K44" s="35"/>
    </row>
    <row r="45" spans="1:11" hidden="1">
      <c r="A45" s="35"/>
      <c r="B45" s="35"/>
      <c r="C45" s="35"/>
      <c r="D45" s="36"/>
      <c r="E45" s="41"/>
      <c r="F45" s="41"/>
      <c r="G45" s="42"/>
      <c r="H45" s="35"/>
      <c r="I45" s="35"/>
      <c r="J45" s="35"/>
      <c r="K45" s="41"/>
    </row>
    <row r="46" spans="1:11" hidden="1">
      <c r="A46" s="35"/>
      <c r="B46" s="35" t="s">
        <v>28</v>
      </c>
      <c r="C46" s="35"/>
      <c r="D46" s="36"/>
      <c r="E46" s="43"/>
      <c r="F46" s="43"/>
      <c r="G46" s="48"/>
      <c r="H46" s="35" t="s">
        <v>29</v>
      </c>
      <c r="I46" s="35"/>
      <c r="J46" s="35"/>
      <c r="K46" s="43"/>
    </row>
    <row r="47" spans="1:11" hidden="1">
      <c r="A47" s="35"/>
      <c r="B47" s="35"/>
      <c r="C47" s="35"/>
      <c r="D47" s="36"/>
      <c r="E47" s="35"/>
      <c r="F47" s="35"/>
      <c r="G47" s="36"/>
      <c r="H47" s="35"/>
      <c r="I47" s="35"/>
      <c r="J47" s="35"/>
      <c r="K47" s="35"/>
    </row>
    <row r="48" spans="1:11" hidden="1">
      <c r="A48" s="35"/>
      <c r="B48" s="35" t="s">
        <v>30</v>
      </c>
      <c r="C48" s="48">
        <f>E15/8</f>
        <v>43.75</v>
      </c>
      <c r="D48" s="36"/>
      <c r="E48" s="35"/>
      <c r="F48" s="35"/>
      <c r="G48" s="36"/>
      <c r="H48" s="35" t="s">
        <v>30</v>
      </c>
      <c r="I48" s="48">
        <f>H15/8</f>
        <v>43.75</v>
      </c>
      <c r="J48" s="35"/>
      <c r="K48" s="35"/>
    </row>
    <row r="49" spans="1:11" hidden="1">
      <c r="A49" s="36">
        <v>295</v>
      </c>
      <c r="B49" s="35" t="s">
        <v>31</v>
      </c>
      <c r="C49" s="35"/>
      <c r="D49" s="36"/>
      <c r="E49" s="41">
        <f>ROUND((C48*1.25*295*4),2)</f>
        <v>64531.25</v>
      </c>
      <c r="F49" s="35"/>
      <c r="G49" s="36"/>
      <c r="H49" s="35" t="s">
        <v>32</v>
      </c>
      <c r="I49" s="58">
        <f>ROUND((I48*1.375*A49*4),2)</f>
        <v>70984.38</v>
      </c>
      <c r="J49" s="35"/>
      <c r="K49" s="35"/>
    </row>
    <row r="50" spans="1:11" hidden="1">
      <c r="A50" s="36">
        <v>12</v>
      </c>
      <c r="B50" s="35" t="s">
        <v>33</v>
      </c>
      <c r="C50" s="35"/>
      <c r="D50" s="36"/>
      <c r="E50" s="41">
        <f>ROUND((C48*2.6*12*4),2)</f>
        <v>5460</v>
      </c>
      <c r="F50" s="35"/>
      <c r="G50" s="36"/>
      <c r="H50" s="35" t="s">
        <v>34</v>
      </c>
      <c r="I50" s="58">
        <f>ROUND((I48*2.86*A50*4),2)</f>
        <v>6006</v>
      </c>
      <c r="J50" s="35"/>
      <c r="K50" s="35"/>
    </row>
    <row r="51" spans="1:11" hidden="1">
      <c r="A51" s="36">
        <v>4</v>
      </c>
      <c r="B51" s="35" t="s">
        <v>35</v>
      </c>
      <c r="C51" s="35"/>
      <c r="D51" s="36"/>
      <c r="E51" s="41">
        <f>ROUND((C48*1.69*4*4),2)</f>
        <v>1183</v>
      </c>
      <c r="F51" s="35"/>
      <c r="G51" s="36"/>
      <c r="H51" s="35" t="s">
        <v>36</v>
      </c>
      <c r="I51" s="47">
        <f>ROUND((I48*1.859*A51*4),2)</f>
        <v>1301.3</v>
      </c>
      <c r="J51" s="35"/>
      <c r="K51" s="35"/>
    </row>
    <row r="52" spans="1:11" hidden="1">
      <c r="A52" s="35"/>
      <c r="B52" s="35"/>
      <c r="C52" s="35"/>
      <c r="D52" s="36"/>
      <c r="E52" s="59">
        <f>SUM(E49:E51)</f>
        <v>71174.25</v>
      </c>
      <c r="F52" s="35"/>
      <c r="G52" s="36"/>
      <c r="H52" s="35"/>
      <c r="I52" s="58">
        <f>SUM(I49:I51)</f>
        <v>78291.680000000008</v>
      </c>
      <c r="J52" s="35"/>
      <c r="K52" s="35"/>
    </row>
    <row r="53" spans="1:11" hidden="1">
      <c r="A53" s="35"/>
      <c r="B53" s="35" t="s">
        <v>37</v>
      </c>
      <c r="C53" s="35"/>
      <c r="D53" s="36"/>
      <c r="E53" s="60">
        <v>12</v>
      </c>
      <c r="F53" s="35"/>
      <c r="G53" s="36"/>
      <c r="H53" s="35" t="s">
        <v>38</v>
      </c>
      <c r="I53" s="60">
        <v>12</v>
      </c>
      <c r="J53" s="35"/>
      <c r="K53" s="35"/>
    </row>
    <row r="54" spans="1:11" ht="16.5" hidden="1" thickBot="1">
      <c r="A54" s="35"/>
      <c r="B54" s="35" t="s">
        <v>39</v>
      </c>
      <c r="C54" s="35"/>
      <c r="D54" s="36"/>
      <c r="E54" s="56">
        <f>E52/E53</f>
        <v>5931.1875</v>
      </c>
      <c r="F54" s="35"/>
      <c r="G54" s="36"/>
      <c r="H54" s="35" t="s">
        <v>40</v>
      </c>
      <c r="I54" s="61">
        <f>I52/I53</f>
        <v>6524.3066666666673</v>
      </c>
      <c r="J54" s="35"/>
      <c r="K54" s="35"/>
    </row>
    <row r="55" spans="1:11" hidden="1">
      <c r="A55" s="35"/>
      <c r="B55" s="35"/>
      <c r="C55" s="35"/>
      <c r="D55" s="36"/>
      <c r="E55" s="43"/>
      <c r="F55" s="35"/>
      <c r="G55" s="36"/>
      <c r="H55" s="35"/>
      <c r="I55" s="35"/>
      <c r="J55" s="35"/>
      <c r="K55" s="35"/>
    </row>
    <row r="56" spans="1:11" hidden="1">
      <c r="A56" s="35"/>
      <c r="B56" s="40" t="s">
        <v>41</v>
      </c>
      <c r="C56" s="35"/>
      <c r="D56" s="36"/>
      <c r="E56" s="43"/>
      <c r="F56" s="35"/>
      <c r="G56" s="36"/>
      <c r="H56" s="40"/>
      <c r="I56" s="35"/>
      <c r="J56" s="35"/>
      <c r="K56" s="35"/>
    </row>
    <row r="57" spans="1:11" ht="15" hidden="1" customHeight="1">
      <c r="A57" s="35"/>
      <c r="B57" s="35" t="s">
        <v>96</v>
      </c>
      <c r="C57" s="35"/>
      <c r="D57" s="36"/>
      <c r="E57" s="35"/>
      <c r="F57" s="35"/>
      <c r="G57" s="36"/>
      <c r="H57" s="35"/>
      <c r="I57" s="35"/>
      <c r="J57" s="35"/>
      <c r="K57" s="35"/>
    </row>
    <row r="58" spans="1:11" hidden="1">
      <c r="A58" s="35"/>
      <c r="B58" s="35" t="s">
        <v>43</v>
      </c>
      <c r="C58" s="35"/>
      <c r="D58" s="36"/>
      <c r="E58" s="35"/>
      <c r="F58" s="35"/>
      <c r="G58" s="36"/>
      <c r="H58" s="35"/>
      <c r="I58" s="35"/>
      <c r="J58" s="35"/>
      <c r="K58" s="35"/>
    </row>
    <row r="59" spans="1:11" hidden="1">
      <c r="A59" s="35"/>
      <c r="B59" s="35" t="s">
        <v>97</v>
      </c>
      <c r="C59" s="35"/>
      <c r="D59" s="36"/>
      <c r="E59" s="35"/>
      <c r="F59" s="35"/>
      <c r="G59" s="36"/>
      <c r="H59" s="35"/>
      <c r="I59" s="35"/>
      <c r="J59" s="35"/>
      <c r="K59" s="35"/>
    </row>
    <row r="60" spans="1:11" hidden="1">
      <c r="A60" s="35"/>
      <c r="B60" s="35" t="s">
        <v>98</v>
      </c>
      <c r="C60" s="35"/>
      <c r="D60" s="36"/>
      <c r="E60" s="35"/>
      <c r="F60" s="35"/>
      <c r="G60" s="36"/>
      <c r="H60" s="35"/>
      <c r="I60" s="35"/>
      <c r="J60" s="35"/>
      <c r="K60" s="35"/>
    </row>
    <row r="61" spans="1:11" hidden="1">
      <c r="A61" s="35"/>
      <c r="B61" s="35"/>
      <c r="C61" s="35"/>
      <c r="D61" s="36"/>
      <c r="E61" s="35"/>
      <c r="F61" s="35"/>
      <c r="G61" s="36"/>
      <c r="H61" s="35"/>
      <c r="I61" s="35"/>
      <c r="J61" s="35"/>
      <c r="K61" s="35"/>
    </row>
    <row r="62" spans="1:11" ht="16.5" hidden="1" thickBot="1">
      <c r="A62" s="35"/>
      <c r="B62" s="35" t="s">
        <v>44</v>
      </c>
      <c r="C62" s="35"/>
      <c r="D62" s="36"/>
      <c r="E62" s="62">
        <f>E23-E19</f>
        <v>9375.003333333334</v>
      </c>
      <c r="F62" s="62">
        <f>F23-F19</f>
        <v>9679.3090000000011</v>
      </c>
      <c r="G62" s="36"/>
      <c r="H62" s="62">
        <f>H23-H19</f>
        <v>15306.190833333334</v>
      </c>
      <c r="I62" s="62">
        <f>I23-I19</f>
        <v>16355.7685</v>
      </c>
      <c r="J62" s="35"/>
      <c r="K62" s="62">
        <f>K23-K19</f>
        <v>9679.3090000000011</v>
      </c>
    </row>
    <row r="63" spans="1:11">
      <c r="A63" s="35" t="s">
        <v>108</v>
      </c>
      <c r="B63" s="35"/>
      <c r="C63" s="35"/>
      <c r="D63" s="36"/>
      <c r="E63" s="35"/>
      <c r="F63" s="35"/>
      <c r="G63" s="36"/>
      <c r="H63" s="35"/>
      <c r="I63" s="35"/>
      <c r="J63" s="35"/>
      <c r="K63" s="35"/>
    </row>
    <row r="64" spans="1:11">
      <c r="A64" s="35"/>
      <c r="B64" s="35"/>
      <c r="C64" s="35"/>
      <c r="D64" s="36"/>
      <c r="E64" s="35"/>
      <c r="F64" s="35"/>
      <c r="G64" s="36"/>
      <c r="H64" s="35"/>
      <c r="I64" s="35"/>
      <c r="J64" s="35"/>
      <c r="K64" s="35"/>
    </row>
    <row r="65" spans="1:11">
      <c r="A65" s="35" t="s">
        <v>109</v>
      </c>
      <c r="B65" s="35"/>
      <c r="C65" s="35"/>
      <c r="D65" s="36"/>
      <c r="E65" s="36">
        <v>10</v>
      </c>
      <c r="F65" s="36">
        <v>5</v>
      </c>
      <c r="G65" s="36"/>
      <c r="H65" s="36">
        <v>1</v>
      </c>
      <c r="I65" s="36">
        <v>2</v>
      </c>
      <c r="J65" s="35"/>
      <c r="K65" s="36">
        <v>3</v>
      </c>
    </row>
    <row r="66" spans="1:11">
      <c r="A66" s="35"/>
      <c r="B66" s="35"/>
      <c r="C66" s="35"/>
      <c r="D66" s="36"/>
      <c r="E66" s="35"/>
      <c r="F66" s="35"/>
      <c r="G66" s="36"/>
      <c r="H66" s="35"/>
      <c r="I66" s="35"/>
      <c r="J66" s="35"/>
      <c r="K66" s="35"/>
    </row>
    <row r="67" spans="1:11">
      <c r="A67" s="35" t="s">
        <v>110</v>
      </c>
      <c r="B67" s="35"/>
      <c r="C67" s="35"/>
      <c r="D67" s="36"/>
      <c r="E67" s="43">
        <f>E42*E65</f>
        <v>120413.09658333333</v>
      </c>
      <c r="F67" s="43">
        <f>F42*F65</f>
        <v>61728.076625000002</v>
      </c>
      <c r="G67" s="36"/>
      <c r="H67" s="64">
        <f>H42*H65</f>
        <v>23475.973057333333</v>
      </c>
      <c r="I67" s="64">
        <f>I42*I65</f>
        <v>49831.050401599998</v>
      </c>
      <c r="J67" s="35"/>
      <c r="K67" s="43">
        <f>K42*K65</f>
        <v>37036.845975000004</v>
      </c>
    </row>
    <row r="68" spans="1:11">
      <c r="A68" s="35"/>
      <c r="B68" s="35"/>
      <c r="C68" s="35"/>
      <c r="D68" s="36"/>
      <c r="E68" s="35"/>
      <c r="F68" s="35"/>
      <c r="G68" s="36"/>
      <c r="H68" s="35"/>
      <c r="I68" s="35"/>
      <c r="J68" s="35"/>
      <c r="K68" s="35"/>
    </row>
    <row r="69" spans="1:11" ht="15.95" customHeight="1" thickBot="1">
      <c r="A69" s="65" t="s">
        <v>124</v>
      </c>
      <c r="B69" s="65"/>
      <c r="C69" s="65"/>
      <c r="D69" s="36"/>
      <c r="E69" s="68">
        <f>E67*12</f>
        <v>1444957.159</v>
      </c>
      <c r="F69" s="68">
        <f>F67*12</f>
        <v>740736.91950000008</v>
      </c>
      <c r="G69" s="36"/>
      <c r="H69" s="66">
        <f>H67*12</f>
        <v>281711.67668799998</v>
      </c>
      <c r="I69" s="66">
        <f>I67*12</f>
        <v>597972.6048192</v>
      </c>
      <c r="J69" s="35"/>
      <c r="K69" s="68">
        <f>K67*12</f>
        <v>444442.15170000005</v>
      </c>
    </row>
    <row r="70" spans="1:11" ht="16.5" thickTop="1"/>
  </sheetData>
  <sheetProtection algorithmName="SHA-512" hashValue="46PQ5Ww+wZd2j4/4NUDYXSWC8fMes9mA9T6OzeIaG4P4CyfxyctIE9z8vNt4k3QsAmm5ueuJsQz6lyuooUzzhw==" saltValue="RISeKPRsnPa3Iaiaao55fA==" spinCount="100000" sheet="1" objects="1" scenarios="1"/>
  <mergeCells count="7">
    <mergeCell ref="A69:C69"/>
    <mergeCell ref="A2:I2"/>
    <mergeCell ref="A3:I3"/>
    <mergeCell ref="A4:I4"/>
    <mergeCell ref="E8:F8"/>
    <mergeCell ref="H8:I8"/>
    <mergeCell ref="A38:B38"/>
  </mergeCells>
  <pageMargins left="0.70866141732283505" right="0.70866141732283505" top="0.74803149606299202" bottom="0.74803149606299202" header="0.31496062992126" footer="0.31496062992126"/>
  <pageSetup paperSize="124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FF01E-2846-4471-937B-2F3300559175}">
  <sheetPr>
    <pageSetUpPr fitToPage="1"/>
  </sheetPr>
  <dimension ref="A1:I63"/>
  <sheetViews>
    <sheetView zoomScale="85" zoomScaleNormal="85" workbookViewId="0">
      <selection activeCell="D31" sqref="D31"/>
    </sheetView>
  </sheetViews>
  <sheetFormatPr defaultColWidth="8.85546875" defaultRowHeight="15"/>
  <cols>
    <col min="1" max="1" width="8.85546875" style="19"/>
    <col min="2" max="2" width="52.5703125" style="19" customWidth="1"/>
    <col min="3" max="3" width="14.140625" style="19" customWidth="1"/>
    <col min="4" max="4" width="13.42578125" style="19" customWidth="1"/>
    <col min="5" max="5" width="14.140625" style="19" customWidth="1"/>
    <col min="6" max="7" width="8.85546875" style="19"/>
    <col min="8" max="8" width="42.5703125" style="19" bestFit="1" customWidth="1"/>
    <col min="9" max="9" width="11.42578125" style="19" bestFit="1" customWidth="1"/>
    <col min="10" max="16384" width="8.85546875" style="19"/>
  </cols>
  <sheetData>
    <row r="1" spans="1:9">
      <c r="A1" s="70" t="s">
        <v>125</v>
      </c>
      <c r="B1" s="71"/>
      <c r="C1" s="71"/>
      <c r="D1" s="71"/>
      <c r="E1" s="71"/>
      <c r="F1" s="71"/>
      <c r="G1" s="71"/>
      <c r="H1" s="71"/>
      <c r="I1" s="71"/>
    </row>
    <row r="2" spans="1:9">
      <c r="A2" s="70"/>
      <c r="B2" s="71"/>
      <c r="C2" s="71"/>
      <c r="D2" s="71"/>
      <c r="E2" s="71"/>
      <c r="F2" s="71"/>
      <c r="G2" s="71"/>
      <c r="H2" s="71"/>
      <c r="I2" s="71"/>
    </row>
    <row r="3" spans="1:9">
      <c r="A3" s="71"/>
      <c r="B3" s="71"/>
      <c r="C3" s="71"/>
      <c r="D3" s="71"/>
      <c r="E3" s="71"/>
      <c r="F3" s="71"/>
      <c r="G3" s="71"/>
      <c r="H3" s="71"/>
      <c r="I3" s="71"/>
    </row>
    <row r="4" spans="1:9">
      <c r="A4" s="71"/>
      <c r="B4" s="71"/>
      <c r="C4" s="71"/>
      <c r="D4" s="71"/>
      <c r="E4" s="71"/>
      <c r="F4" s="71"/>
      <c r="G4" s="71"/>
      <c r="H4" s="71"/>
      <c r="I4" s="71"/>
    </row>
    <row r="5" spans="1:9">
      <c r="A5" s="71" t="s">
        <v>126</v>
      </c>
      <c r="B5" s="71"/>
      <c r="C5" s="20"/>
      <c r="D5" s="71"/>
      <c r="E5" s="21">
        <v>50000</v>
      </c>
      <c r="F5" s="71"/>
      <c r="G5" s="71"/>
      <c r="H5" s="70" t="s">
        <v>54</v>
      </c>
      <c r="I5" s="71"/>
    </row>
    <row r="6" spans="1:9">
      <c r="A6" s="71" t="s">
        <v>100</v>
      </c>
      <c r="B6" s="71"/>
      <c r="C6" s="20"/>
      <c r="D6" s="21"/>
      <c r="E6" s="72">
        <f>E5/12</f>
        <v>4166.666666666667</v>
      </c>
      <c r="F6" s="71"/>
      <c r="G6" s="71"/>
      <c r="H6" s="71"/>
      <c r="I6" s="71"/>
    </row>
    <row r="7" spans="1:9">
      <c r="A7" s="71" t="s">
        <v>101</v>
      </c>
      <c r="B7" s="71"/>
      <c r="C7" s="71"/>
      <c r="D7" s="71"/>
      <c r="E7" s="73">
        <f>+E5+E6</f>
        <v>54166.666666666664</v>
      </c>
      <c r="F7" s="71"/>
      <c r="G7" s="71"/>
      <c r="H7" s="70" t="s">
        <v>55</v>
      </c>
      <c r="I7" s="73">
        <f>+E5</f>
        <v>50000</v>
      </c>
    </row>
    <row r="8" spans="1:9">
      <c r="A8" s="71"/>
      <c r="B8" s="71"/>
      <c r="C8" s="71"/>
      <c r="D8" s="71"/>
      <c r="E8" s="71"/>
      <c r="F8" s="71"/>
      <c r="G8" s="71"/>
      <c r="H8" s="71" t="s">
        <v>59</v>
      </c>
      <c r="I8" s="71"/>
    </row>
    <row r="9" spans="1:9">
      <c r="A9" s="70" t="s">
        <v>56</v>
      </c>
      <c r="B9" s="71"/>
      <c r="C9" s="74" t="s">
        <v>57</v>
      </c>
      <c r="D9" s="74" t="s">
        <v>58</v>
      </c>
      <c r="E9" s="71"/>
      <c r="F9" s="71"/>
      <c r="G9" s="71"/>
      <c r="H9" s="75" t="s">
        <v>61</v>
      </c>
      <c r="I9" s="72">
        <f>D16</f>
        <v>2350</v>
      </c>
    </row>
    <row r="10" spans="1:9" ht="15.95" customHeight="1">
      <c r="A10" s="70"/>
      <c r="B10" s="71" t="s">
        <v>60</v>
      </c>
      <c r="C10" s="73">
        <f>570*(22.5/12)</f>
        <v>1068.75</v>
      </c>
      <c r="D10" s="22">
        <v>0</v>
      </c>
      <c r="E10" s="71"/>
      <c r="F10" s="71"/>
      <c r="G10" s="71"/>
      <c r="H10" s="76" t="s">
        <v>102</v>
      </c>
      <c r="I10" s="77">
        <f>I7-I9</f>
        <v>47650</v>
      </c>
    </row>
    <row r="11" spans="1:9">
      <c r="A11" s="71"/>
      <c r="B11" s="71" t="s">
        <v>62</v>
      </c>
      <c r="C11" s="73">
        <v>1700</v>
      </c>
      <c r="D11" s="22">
        <v>900</v>
      </c>
      <c r="E11" s="71"/>
      <c r="F11" s="71"/>
      <c r="G11" s="71"/>
      <c r="H11" s="75" t="s">
        <v>64</v>
      </c>
      <c r="I11" s="23">
        <f>(I10-33333)*0.2+2500</f>
        <v>5363.4</v>
      </c>
    </row>
    <row r="12" spans="1:9" ht="15.75" thickBot="1">
      <c r="A12" s="71"/>
      <c r="B12" s="71" t="s">
        <v>63</v>
      </c>
      <c r="C12" s="73">
        <v>425</v>
      </c>
      <c r="D12" s="22">
        <v>225</v>
      </c>
      <c r="E12" s="71"/>
      <c r="F12" s="71"/>
      <c r="G12" s="71"/>
      <c r="H12" s="70" t="s">
        <v>66</v>
      </c>
      <c r="I12" s="78">
        <f>I10-I11</f>
        <v>42286.6</v>
      </c>
    </row>
    <row r="13" spans="1:9" ht="15.75" thickTop="1">
      <c r="A13" s="71"/>
      <c r="B13" s="71" t="s">
        <v>65</v>
      </c>
      <c r="C13" s="73">
        <f>E5*0.045/2</f>
        <v>1125</v>
      </c>
      <c r="D13" s="22">
        <f>C13</f>
        <v>1125</v>
      </c>
      <c r="E13" s="71"/>
      <c r="F13" s="71"/>
      <c r="G13" s="71"/>
      <c r="H13" s="71"/>
      <c r="I13" s="71"/>
    </row>
    <row r="14" spans="1:9">
      <c r="A14" s="71"/>
      <c r="B14" s="71" t="s">
        <v>21</v>
      </c>
      <c r="C14" s="73">
        <v>30</v>
      </c>
      <c r="D14" s="22">
        <v>0</v>
      </c>
      <c r="E14" s="71"/>
      <c r="F14" s="71"/>
      <c r="G14" s="71"/>
      <c r="H14" s="71"/>
      <c r="I14" s="73"/>
    </row>
    <row r="15" spans="1:9">
      <c r="A15" s="71"/>
      <c r="B15" s="71" t="s">
        <v>22</v>
      </c>
      <c r="C15" s="72">
        <v>100</v>
      </c>
      <c r="D15" s="24">
        <v>100</v>
      </c>
      <c r="E15" s="71"/>
      <c r="F15" s="71"/>
      <c r="G15" s="71"/>
      <c r="H15" s="71"/>
      <c r="I15" s="73"/>
    </row>
    <row r="16" spans="1:9">
      <c r="A16" s="71"/>
      <c r="B16" s="71"/>
      <c r="C16" s="79">
        <f>SUM(C10:C15)</f>
        <v>4448.75</v>
      </c>
      <c r="D16" s="79">
        <f>SUM(D10:D15)</f>
        <v>2350</v>
      </c>
      <c r="E16" s="80">
        <f>C16</f>
        <v>4448.75</v>
      </c>
      <c r="F16" s="71"/>
      <c r="G16" s="71"/>
      <c r="H16" s="71"/>
      <c r="I16" s="73"/>
    </row>
    <row r="17" spans="1:9">
      <c r="A17" s="71"/>
      <c r="B17" s="71"/>
      <c r="C17" s="71"/>
      <c r="D17" s="71"/>
      <c r="E17" s="71"/>
      <c r="F17" s="71"/>
      <c r="G17" s="71"/>
      <c r="H17" s="71"/>
      <c r="I17" s="71"/>
    </row>
    <row r="18" spans="1:9">
      <c r="A18" s="70" t="s">
        <v>67</v>
      </c>
      <c r="B18" s="71"/>
      <c r="C18" s="71"/>
      <c r="D18" s="81"/>
      <c r="E18" s="82">
        <f>SUM(E7:E16)</f>
        <v>58615.416666666664</v>
      </c>
      <c r="F18" s="71"/>
      <c r="G18" s="71"/>
      <c r="H18" s="71"/>
      <c r="I18" s="71"/>
    </row>
    <row r="19" spans="1:9">
      <c r="A19" s="71"/>
      <c r="B19" s="71"/>
      <c r="C19" s="71"/>
      <c r="D19" s="71"/>
      <c r="E19" s="71"/>
      <c r="F19" s="71"/>
      <c r="G19" s="71"/>
      <c r="H19" s="71"/>
      <c r="I19" s="71"/>
    </row>
    <row r="20" spans="1:9">
      <c r="A20" s="70" t="s">
        <v>24</v>
      </c>
      <c r="B20" s="71"/>
      <c r="C20" s="71"/>
      <c r="D20" s="71"/>
      <c r="E20" s="71"/>
      <c r="F20" s="71"/>
      <c r="G20" s="71"/>
      <c r="H20" s="71"/>
      <c r="I20" s="71"/>
    </row>
    <row r="21" spans="1:9">
      <c r="A21" s="71"/>
      <c r="B21" s="71" t="s">
        <v>68</v>
      </c>
      <c r="C21" s="83"/>
      <c r="D21" s="69"/>
      <c r="E21" s="82">
        <f>E18*D21</f>
        <v>0</v>
      </c>
      <c r="F21" s="71"/>
      <c r="G21" s="71"/>
      <c r="H21" s="71"/>
      <c r="I21" s="71"/>
    </row>
    <row r="22" spans="1:9">
      <c r="A22" s="71"/>
      <c r="B22" s="71"/>
      <c r="C22" s="71"/>
      <c r="D22" s="71"/>
      <c r="E22" s="71"/>
      <c r="F22" s="71"/>
      <c r="G22" s="71"/>
      <c r="H22" s="71"/>
      <c r="I22" s="71"/>
    </row>
    <row r="23" spans="1:9">
      <c r="A23" s="70" t="s">
        <v>69</v>
      </c>
      <c r="B23" s="71"/>
      <c r="C23" s="83"/>
      <c r="D23" s="81"/>
      <c r="E23" s="84">
        <f>E21*0.12</f>
        <v>0</v>
      </c>
      <c r="F23" s="71"/>
      <c r="G23" s="71"/>
      <c r="H23" s="71"/>
      <c r="I23" s="71"/>
    </row>
    <row r="24" spans="1:9">
      <c r="A24" s="71"/>
      <c r="B24" s="71"/>
      <c r="C24" s="71"/>
      <c r="D24" s="71"/>
      <c r="E24" s="71"/>
      <c r="F24" s="71"/>
      <c r="G24" s="71"/>
      <c r="H24" s="71"/>
      <c r="I24" s="71"/>
    </row>
    <row r="25" spans="1:9" ht="15.75" thickBot="1">
      <c r="A25" s="70" t="s">
        <v>103</v>
      </c>
      <c r="B25" s="71"/>
      <c r="C25" s="83"/>
      <c r="D25" s="83"/>
      <c r="E25" s="85">
        <f>E18+E21+E23</f>
        <v>58615.416666666664</v>
      </c>
      <c r="F25" s="71"/>
      <c r="G25" s="71"/>
      <c r="H25" s="71"/>
      <c r="I25" s="71"/>
    </row>
    <row r="26" spans="1:9" customFormat="1" ht="15.75" thickTop="1">
      <c r="A26" s="71"/>
      <c r="B26" s="71"/>
      <c r="C26" s="71"/>
      <c r="D26" s="71"/>
      <c r="E26" s="71"/>
      <c r="F26" s="71"/>
      <c r="G26" s="86"/>
      <c r="H26" s="86"/>
      <c r="I26" s="71"/>
    </row>
    <row r="27" spans="1:9" customFormat="1">
      <c r="A27" s="87" t="s">
        <v>130</v>
      </c>
      <c r="B27" s="86"/>
      <c r="C27" s="86"/>
      <c r="D27" s="86"/>
      <c r="E27" s="86"/>
      <c r="F27" s="86"/>
      <c r="G27" s="86"/>
      <c r="H27" s="86"/>
      <c r="I27" s="71"/>
    </row>
    <row r="28" spans="1:9">
      <c r="A28" s="87"/>
      <c r="B28" s="86"/>
      <c r="C28" s="86"/>
      <c r="D28" s="86"/>
      <c r="E28" s="86"/>
      <c r="F28" s="86"/>
      <c r="G28" s="86"/>
      <c r="H28" s="86"/>
      <c r="I28" s="71"/>
    </row>
    <row r="29" spans="1:9">
      <c r="A29" s="86" t="s">
        <v>127</v>
      </c>
      <c r="B29" s="86"/>
      <c r="C29" s="86"/>
      <c r="D29" s="86"/>
      <c r="E29" s="88">
        <v>1</v>
      </c>
      <c r="F29" s="86"/>
      <c r="G29" s="86"/>
      <c r="H29" s="86"/>
      <c r="I29" s="71"/>
    </row>
    <row r="30" spans="1:9">
      <c r="A30" s="86"/>
      <c r="B30" s="86"/>
      <c r="C30" s="86"/>
      <c r="D30" s="86"/>
      <c r="E30" s="86"/>
      <c r="F30" s="86"/>
      <c r="G30" s="86"/>
      <c r="H30" s="86"/>
      <c r="I30" s="71"/>
    </row>
    <row r="31" spans="1:9">
      <c r="A31" s="86" t="s">
        <v>70</v>
      </c>
      <c r="B31" s="86"/>
      <c r="C31" s="86"/>
      <c r="D31" s="86"/>
      <c r="E31" s="89">
        <f>+E25</f>
        <v>58615.416666666664</v>
      </c>
      <c r="F31" s="86"/>
      <c r="G31" s="86"/>
      <c r="H31" s="86"/>
      <c r="I31" s="71"/>
    </row>
    <row r="32" spans="1:9">
      <c r="A32" s="86"/>
      <c r="B32" s="86"/>
      <c r="C32" s="86"/>
      <c r="D32" s="86"/>
      <c r="E32" s="86"/>
      <c r="F32" s="86"/>
      <c r="G32" s="86"/>
      <c r="H32" s="86"/>
      <c r="I32" s="71"/>
    </row>
    <row r="33" spans="1:9" ht="15.75" thickBot="1">
      <c r="A33" s="86" t="s">
        <v>128</v>
      </c>
      <c r="B33" s="86"/>
      <c r="C33" s="86"/>
      <c r="D33" s="86"/>
      <c r="E33" s="90">
        <f>E31*12</f>
        <v>703385</v>
      </c>
      <c r="F33" s="86"/>
      <c r="G33" s="71"/>
      <c r="H33" s="71"/>
      <c r="I33" s="71"/>
    </row>
    <row r="34" spans="1:9" ht="15.75" thickTop="1">
      <c r="B34" s="18"/>
    </row>
    <row r="36" spans="1:9">
      <c r="B36" s="18"/>
    </row>
    <row r="37" spans="1:9">
      <c r="A37" s="25"/>
      <c r="D37" s="25"/>
      <c r="E37" s="25"/>
    </row>
    <row r="38" spans="1:9">
      <c r="D38" s="25"/>
      <c r="E38" s="25"/>
    </row>
    <row r="39" spans="1:9">
      <c r="D39" s="25"/>
      <c r="E39" s="25"/>
    </row>
    <row r="40" spans="1:9" ht="23.25" customHeight="1">
      <c r="D40" s="25"/>
      <c r="E40" s="25"/>
    </row>
    <row r="41" spans="1:9">
      <c r="D41" s="25"/>
      <c r="E41" s="25"/>
    </row>
    <row r="42" spans="1:9">
      <c r="D42" s="25"/>
      <c r="E42" s="25"/>
    </row>
    <row r="43" spans="1:9">
      <c r="C43" s="25"/>
      <c r="D43" s="25"/>
      <c r="E43" s="25"/>
    </row>
    <row r="44" spans="1:9">
      <c r="A44" s="25"/>
      <c r="B44" s="25"/>
      <c r="C44" s="25"/>
      <c r="D44" s="25"/>
      <c r="E44" s="25"/>
    </row>
    <row r="45" spans="1:9">
      <c r="A45" s="25"/>
      <c r="B45" s="25"/>
      <c r="C45" s="25"/>
      <c r="D45" s="25"/>
      <c r="E45" s="25"/>
    </row>
    <row r="46" spans="1:9">
      <c r="A46" s="25"/>
      <c r="B46" s="25"/>
      <c r="C46" s="25"/>
      <c r="D46" s="25"/>
      <c r="E46" s="25"/>
    </row>
    <row r="47" spans="1:9">
      <c r="A47" s="25"/>
      <c r="B47" s="25"/>
      <c r="C47" s="25"/>
      <c r="D47" s="25"/>
      <c r="E47" s="25"/>
    </row>
    <row r="48" spans="1:9">
      <c r="A48" s="25"/>
      <c r="B48" s="25"/>
      <c r="C48" s="25"/>
      <c r="D48" s="25"/>
      <c r="E48" s="25"/>
    </row>
    <row r="49" spans="1:5">
      <c r="A49" s="25"/>
      <c r="B49" s="25"/>
      <c r="C49" s="25"/>
      <c r="D49" s="25"/>
      <c r="E49" s="25"/>
    </row>
    <row r="50" spans="1:5">
      <c r="A50" s="25"/>
      <c r="B50" s="25"/>
      <c r="C50" s="25"/>
      <c r="D50" s="25"/>
      <c r="E50" s="25"/>
    </row>
    <row r="51" spans="1:5">
      <c r="A51" s="25"/>
      <c r="B51" s="25"/>
      <c r="C51" s="25"/>
      <c r="D51" s="25"/>
      <c r="E51" s="25"/>
    </row>
    <row r="52" spans="1:5">
      <c r="A52" s="25"/>
      <c r="B52" s="25"/>
      <c r="C52" s="25"/>
      <c r="D52" s="25"/>
      <c r="E52" s="25"/>
    </row>
    <row r="53" spans="1:5">
      <c r="A53" s="25"/>
      <c r="B53" s="25"/>
      <c r="C53" s="25"/>
      <c r="D53" s="25"/>
      <c r="E53" s="25"/>
    </row>
    <row r="54" spans="1:5">
      <c r="A54" s="25"/>
      <c r="B54" s="25"/>
      <c r="C54" s="25"/>
      <c r="D54" s="25"/>
      <c r="E54" s="25"/>
    </row>
    <row r="55" spans="1:5">
      <c r="A55" s="25"/>
      <c r="B55" s="25"/>
      <c r="C55" s="25"/>
      <c r="D55" s="25"/>
      <c r="E55" s="25"/>
    </row>
    <row r="56" spans="1:5">
      <c r="A56" s="25"/>
      <c r="B56" s="25"/>
      <c r="C56" s="25"/>
      <c r="D56" s="25"/>
      <c r="E56" s="25"/>
    </row>
    <row r="57" spans="1:5" ht="14.45" customHeight="1">
      <c r="A57" s="25"/>
      <c r="B57" s="25"/>
      <c r="C57" s="25"/>
      <c r="D57" s="25"/>
      <c r="E57" s="25"/>
    </row>
    <row r="58" spans="1:5">
      <c r="A58" s="25"/>
      <c r="B58" s="25"/>
      <c r="C58" s="25"/>
      <c r="D58" s="25"/>
      <c r="E58" s="25"/>
    </row>
    <row r="59" spans="1:5">
      <c r="A59" s="25"/>
      <c r="B59" s="25"/>
      <c r="C59" s="25"/>
      <c r="D59" s="25"/>
      <c r="E59" s="25"/>
    </row>
    <row r="60" spans="1:5">
      <c r="A60" s="25"/>
      <c r="B60" s="25"/>
      <c r="C60" s="25"/>
      <c r="D60" s="25"/>
      <c r="E60" s="25"/>
    </row>
    <row r="61" spans="1:5">
      <c r="A61" s="25"/>
      <c r="B61" s="25"/>
      <c r="C61" s="25"/>
      <c r="D61" s="25"/>
      <c r="E61" s="25"/>
    </row>
    <row r="62" spans="1:5">
      <c r="A62" s="25"/>
      <c r="B62" s="25"/>
      <c r="C62" s="25"/>
      <c r="D62" s="25"/>
      <c r="E62" s="25"/>
    </row>
    <row r="63" spans="1:5">
      <c r="A63" s="25"/>
      <c r="B63" s="25"/>
      <c r="C63" s="25"/>
      <c r="D63" s="25"/>
      <c r="E63" s="25"/>
    </row>
  </sheetData>
  <sheetProtection algorithmName="SHA-512" hashValue="pn52oC5Bw8JqeUzs8+OXThDqAlbHetDuu6iFYbKk/Gm1Y2qWxQr68dH3aAqC2i6LNMXhPcCvg7xV7IOkyXMqpw==" saltValue="b+6XZqnEFOlR2pi/cEbYXA==" spinCount="100000" sheet="1" objects="1" scenarios="1"/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SUMMARY</vt:lpstr>
      <vt:lpstr>Basay</vt:lpstr>
      <vt:lpstr>Bagacay</vt:lpstr>
      <vt:lpstr>LPH</vt:lpstr>
      <vt:lpstr>Toril</vt:lpstr>
      <vt:lpstr>Nonoc</vt:lpstr>
      <vt:lpstr>AO</vt:lpstr>
      <vt:lpstr>Bagacay!Print_Area</vt:lpstr>
      <vt:lpstr>Basay!Print_Area</vt:lpstr>
      <vt:lpstr>LPH!Print_Area</vt:lpstr>
      <vt:lpstr>Nonoc!Print_Area</vt:lpstr>
      <vt:lpstr>Toril!Print_Area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 Valdeabella</dc:creator>
  <cp:lastModifiedBy>Noreen Antonio</cp:lastModifiedBy>
  <dcterms:created xsi:type="dcterms:W3CDTF">2022-09-08T07:38:08Z</dcterms:created>
  <dcterms:modified xsi:type="dcterms:W3CDTF">2022-10-18T09:30:53Z</dcterms:modified>
</cp:coreProperties>
</file>